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60301" yWindow="65236" windowWidth="10770" windowHeight="11415" activeTab="0"/>
  </bookViews>
  <sheets>
    <sheet name="Dados" sheetId="1" r:id="rId1"/>
    <sheet name="Indices" sheetId="2" r:id="rId2"/>
    <sheet name="Plan1" sheetId="3" state="hidden" r:id="rId3"/>
  </sheets>
  <definedNames>
    <definedName name="_xlnm.Print_Area" localSheetId="0">'Dados'!$A$1:$E$75</definedName>
    <definedName name="REFERENCIA">#REF!</definedName>
    <definedName name="Referência">#REF!</definedName>
  </definedNames>
  <calcPr fullCalcOnLoad="1" fullPrecision="0"/>
</workbook>
</file>

<file path=xl/comments1.xml><?xml version="1.0" encoding="utf-8"?>
<comments xmlns="http://schemas.openxmlformats.org/spreadsheetml/2006/main">
  <authors>
    <author>Administrador</author>
    <author>jfrs</author>
    <author>User</author>
  </authors>
  <commentList>
    <comment ref="C1" authorId="0">
      <text>
        <r>
          <rPr>
            <sz val="9"/>
            <rFont val="Tahoma"/>
            <family val="2"/>
          </rPr>
          <t>Pare o cursor sobre o HELP</t>
        </r>
        <r>
          <rPr>
            <sz val="9"/>
            <color indexed="10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(triângulos </t>
        </r>
        <r>
          <rPr>
            <sz val="9"/>
            <color indexed="10"/>
            <rFont val="Tahoma"/>
            <family val="2"/>
          </rPr>
          <t>vermelhos</t>
        </r>
        <r>
          <rPr>
            <sz val="9"/>
            <rFont val="Tahoma"/>
            <family val="2"/>
          </rPr>
          <t>) para obter DICAS.</t>
        </r>
      </text>
    </comment>
    <comment ref="C12" authorId="1">
      <text>
        <r>
          <rPr>
            <sz val="9"/>
            <rFont val="Tahoma"/>
            <family val="2"/>
          </rPr>
          <t xml:space="preserve">Data da </t>
        </r>
        <r>
          <rPr>
            <b/>
            <sz val="9"/>
            <rFont val="Tahoma"/>
            <family val="2"/>
          </rPr>
          <t>autuação</t>
        </r>
        <r>
          <rPr>
            <sz val="9"/>
            <rFont val="Tahoma"/>
            <family val="2"/>
          </rPr>
          <t xml:space="preserve"> do Requisitório.
</t>
        </r>
      </text>
    </comment>
    <comment ref="C5" authorId="1">
      <text>
        <r>
          <rPr>
            <sz val="9"/>
            <rFont val="Tahoma"/>
            <family val="2"/>
          </rPr>
          <t xml:space="preserve">Data-base / Data da conta
</t>
        </r>
      </text>
    </comment>
    <comment ref="C15" authorId="2">
      <text>
        <r>
          <rPr>
            <sz val="9"/>
            <rFont val="Segoe UI"/>
            <family val="2"/>
          </rPr>
          <t xml:space="preserve">O percentual de juros definido no julgado.
</t>
        </r>
      </text>
    </comment>
    <comment ref="C17" authorId="1">
      <text>
        <r>
          <rPr>
            <sz val="9"/>
            <rFont val="Tahoma"/>
            <family val="2"/>
          </rPr>
          <t>Copiar da conta que originou o requisitório.</t>
        </r>
      </text>
    </comment>
    <comment ref="C20" authorId="1">
      <text>
        <r>
          <rPr>
            <sz val="9"/>
            <color indexed="10"/>
            <rFont val="Tahoma"/>
            <family val="2"/>
          </rPr>
          <t>Digite a sua cidade</t>
        </r>
      </text>
    </comment>
    <comment ref="C21" authorId="1">
      <text>
        <r>
          <rPr>
            <sz val="9"/>
            <color indexed="10"/>
            <rFont val="Tahoma"/>
            <family val="2"/>
          </rPr>
          <t>Nome de quem está elaborando a conta.</t>
        </r>
      </text>
    </comment>
    <comment ref="C13" authorId="1">
      <text>
        <r>
          <rPr>
            <sz val="9"/>
            <color indexed="10"/>
            <rFont val="Tahoma"/>
            <family val="2"/>
          </rPr>
          <t>Manter o índice de correção aplicado pelo sistema de pagamentos.</t>
        </r>
      </text>
    </comment>
    <comment ref="C6" authorId="1">
      <text>
        <r>
          <rPr>
            <sz val="9"/>
            <rFont val="Tahoma"/>
            <family val="2"/>
          </rPr>
          <t>Copiar da conta que originou o requisitório.</t>
        </r>
      </text>
    </comment>
    <comment ref="C7" authorId="1">
      <text>
        <r>
          <rPr>
            <sz val="9"/>
            <rFont val="Tahoma"/>
            <family val="2"/>
          </rPr>
          <t>Copiar da conta que originou o requisitório.</t>
        </r>
      </text>
    </comment>
    <comment ref="C18" authorId="1">
      <text>
        <r>
          <rPr>
            <sz val="9"/>
            <rFont val="Tahoma"/>
            <family val="2"/>
          </rPr>
          <t>Se for o caso, informar o percentual.</t>
        </r>
      </text>
    </comment>
    <comment ref="C19" authorId="1">
      <text>
        <r>
          <rPr>
            <sz val="9"/>
            <rFont val="Tahoma"/>
            <family val="2"/>
          </rPr>
          <t>Se houver pedido de destaque, informar o percentual.</t>
        </r>
      </text>
    </comment>
    <comment ref="A24" authorId="1">
      <text>
        <r>
          <rPr>
            <b/>
            <sz val="9"/>
            <rFont val="Tahoma"/>
            <family val="2"/>
          </rPr>
          <t>Inserir informações adicionais, se necessário.</t>
        </r>
      </text>
    </comment>
    <comment ref="C16" authorId="1">
      <text>
        <r>
          <rPr>
            <sz val="9"/>
            <rFont val="Tahoma"/>
            <family val="2"/>
          </rPr>
          <t>Informar a data (mm/aaaa) para qual quer atualizar a conta.</t>
        </r>
      </text>
    </comment>
    <comment ref="L38" authorId="1">
      <text>
        <r>
          <rPr>
            <sz val="9"/>
            <rFont val="Tahoma"/>
            <family val="2"/>
          </rPr>
          <t xml:space="preserve">Editar </t>
        </r>
        <r>
          <rPr>
            <b/>
            <sz val="9"/>
            <color indexed="10"/>
            <rFont val="Tahoma"/>
            <family val="2"/>
          </rPr>
          <t>apenas</t>
        </r>
        <r>
          <rPr>
            <sz val="9"/>
            <rFont val="Tahoma"/>
            <family val="2"/>
          </rPr>
          <t xml:space="preserve"> para início de juros antes da citação (ex. dano moral).</t>
        </r>
      </text>
    </comment>
    <comment ref="C2" authorId="0">
      <text>
        <r>
          <rPr>
            <sz val="9"/>
            <rFont val="Tahoma"/>
            <family val="2"/>
          </rPr>
          <t>Pare o cursor sobre o HELP</t>
        </r>
        <r>
          <rPr>
            <sz val="9"/>
            <color indexed="10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(triângulos </t>
        </r>
        <r>
          <rPr>
            <sz val="9"/>
            <color indexed="10"/>
            <rFont val="Tahoma"/>
            <family val="2"/>
          </rPr>
          <t>vermelhos</t>
        </r>
        <r>
          <rPr>
            <sz val="9"/>
            <rFont val="Tahoma"/>
            <family val="2"/>
          </rPr>
          <t>) para obter DICAS.</t>
        </r>
      </text>
    </comment>
    <comment ref="C4" authorId="1">
      <text>
        <r>
          <rPr>
            <sz val="9"/>
            <rFont val="Tahoma"/>
            <family val="2"/>
          </rPr>
          <t>Selecionar o tipo de ação.</t>
        </r>
      </text>
    </comment>
    <comment ref="C9" authorId="1">
      <text>
        <r>
          <rPr>
            <b/>
            <sz val="9"/>
            <color indexed="10"/>
            <rFont val="Tahoma"/>
            <family val="2"/>
          </rPr>
          <t>ATENÇÃO!</t>
        </r>
        <r>
          <rPr>
            <sz val="9"/>
            <rFont val="Tahoma"/>
            <family val="2"/>
          </rPr>
          <t xml:space="preserve">
 Preencher estes 3 campos SOMENTE quando se tratar de ação PREVIDENCIÁRIA, para cálculo nos termos das Súmulas 76/TRF4 e 111/STJ. Ou seja, preencha com os subtotais até a data da sentença ou acórdão que a modifica.</t>
        </r>
        <r>
          <rPr>
            <sz val="9"/>
            <rFont val="Tahoma"/>
            <family val="0"/>
          </rPr>
          <t xml:space="preserve">
</t>
        </r>
      </text>
    </comment>
    <comment ref="C14" authorId="1">
      <text>
        <r>
          <rPr>
            <sz val="9"/>
            <color indexed="10"/>
            <rFont val="Tahoma"/>
            <family val="2"/>
          </rPr>
          <t>Manter o índice de correção aplicado pelo sistema de pagamentos.</t>
        </r>
      </text>
    </comment>
  </commentList>
</comments>
</file>

<file path=xl/sharedStrings.xml><?xml version="1.0" encoding="utf-8"?>
<sst xmlns="http://schemas.openxmlformats.org/spreadsheetml/2006/main" count="473" uniqueCount="80">
  <si>
    <t>INPC</t>
  </si>
  <si>
    <t>Ré(u):</t>
  </si>
  <si>
    <t>TR</t>
  </si>
  <si>
    <t>Decrescente</t>
  </si>
  <si>
    <t>SELIC</t>
  </si>
  <si>
    <t>IPCA-E</t>
  </si>
  <si>
    <t>TOTAL A REQUISITAR:</t>
  </si>
  <si>
    <t>IGP-DI</t>
  </si>
  <si>
    <t>Processo nº:</t>
  </si>
  <si>
    <t>Data da autuação do requisitório:</t>
  </si>
  <si>
    <t>Juros 1% - poupança</t>
  </si>
  <si>
    <t>0,5% - poupança</t>
  </si>
  <si>
    <t>1,0% - poupança</t>
  </si>
  <si>
    <t>Selecionar</t>
  </si>
  <si>
    <t>Principal:</t>
  </si>
  <si>
    <t>Juros:</t>
  </si>
  <si>
    <t>Atualizar até:</t>
  </si>
  <si>
    <t>Cidade:</t>
  </si>
  <si>
    <t>Operador:</t>
  </si>
  <si>
    <t>Observações:</t>
  </si>
  <si>
    <t>DATA-BASE</t>
  </si>
  <si>
    <t>DATA DA AUTUAÇÃO</t>
  </si>
  <si>
    <t>Fixo</t>
  </si>
  <si>
    <t>previdenciária</t>
  </si>
  <si>
    <t>não previdenciária</t>
  </si>
  <si>
    <t>IGP-DI_TR_IPCA-E(26/3/15)</t>
  </si>
  <si>
    <t>INPC_TR_IPCA-E(26/3/15)</t>
  </si>
  <si>
    <t>INPC_TR_IPCA-E(21/9/17)</t>
  </si>
  <si>
    <t>IPCA-E_TR_IPCA-E(26/3/15)</t>
  </si>
  <si>
    <t>IPCA-E_TR_IPCA-E(21/9/17)</t>
  </si>
  <si>
    <t>IGP-DI_INPC(04/2006)</t>
  </si>
  <si>
    <t>IGP-DI_INPC(09/2006)</t>
  </si>
  <si>
    <t>INPC_TR_INPC(26/3/15)</t>
  </si>
  <si>
    <t>INPC_TR_INPC(21/9/17)</t>
  </si>
  <si>
    <t>IGP-DI_TR(07/2009)</t>
  </si>
  <si>
    <t>INPC_TR(07/2009)</t>
  </si>
  <si>
    <t>INPC_IPCA-E(07/2009)</t>
  </si>
  <si>
    <t>IPCA-E_TR(07/2009)</t>
  </si>
  <si>
    <t>Juros 1% - 0,5% - poupança</t>
  </si>
  <si>
    <t>HOJE()-(DIA(HOJE()))+1</t>
  </si>
  <si>
    <t>B8 ^</t>
  </si>
  <si>
    <t>PROCESSO Nº:</t>
  </si>
  <si>
    <t>AUTOR(A):</t>
  </si>
  <si>
    <t>RÉ(U):</t>
  </si>
  <si>
    <t>PRINCIPAL</t>
  </si>
  <si>
    <t>RESUMO DO CÁLCULO</t>
  </si>
  <si>
    <t>VALORES ATUALIZADOS ATÉ</t>
  </si>
  <si>
    <t>JUROS COMPLEMENTARES ENTRE A DATA DA CONTA E A DATA DA AUTUAÇÃO DO REQUISITÓRIO:</t>
  </si>
  <si>
    <t>Tipo de ação:</t>
  </si>
  <si>
    <t>Correção monetária:</t>
  </si>
  <si>
    <t>Honorários de sucumbência (%):</t>
  </si>
  <si>
    <t>Hononorários de exececução (%):</t>
  </si>
  <si>
    <t>Autor(a):</t>
  </si>
  <si>
    <t>Data da conta homologada / Data-base:</t>
  </si>
  <si>
    <t>Total:</t>
  </si>
  <si>
    <t>Base de cálculo dos honorários de sucumbência</t>
  </si>
  <si>
    <t>Taxa de juros:</t>
  </si>
  <si>
    <t>Honorários contratuais (%):</t>
  </si>
  <si>
    <t>(com base de cálculo limitada à data da sentença ou acórdão)</t>
  </si>
  <si>
    <t>Base de cálculo dos honorários</t>
  </si>
  <si>
    <t>(Somente o principal, até a data da sentença ou acórdão)</t>
  </si>
  <si>
    <t>Base de cálculo dos honorários corrigida</t>
  </si>
  <si>
    <t>Honorários complementares corrigidos</t>
  </si>
  <si>
    <t>Juros complementares corrigidos</t>
  </si>
  <si>
    <t>Data de atualização deste cálculo</t>
  </si>
  <si>
    <t>Juros complementares até a autuação do requisitório</t>
  </si>
  <si>
    <t>Taxa de juros acumulada no período</t>
  </si>
  <si>
    <t>(da data-base até a data da autuação)</t>
  </si>
  <si>
    <t>Principal corrigido</t>
  </si>
  <si>
    <t>IGP-DI_TR_IPCA-E(21/9/17)</t>
  </si>
  <si>
    <t>IGP-DI_IPCA-E(07/2009)</t>
  </si>
  <si>
    <t>IGP-DI_INPC(01/2004)</t>
  </si>
  <si>
    <t>*</t>
  </si>
  <si>
    <t>Campo de preencimento obrigatório.</t>
  </si>
  <si>
    <t>(da data da autuação até a data de atualização deste cálculo)</t>
  </si>
  <si>
    <t>Juros 0,5% - poupança</t>
  </si>
  <si>
    <t>Correção monetária até a data da autuação:</t>
  </si>
  <si>
    <t>HONORÁRIOS DE SUCUMBÊNCIA SOBRE JUROS COMPLEMENTARES:</t>
  </si>
  <si>
    <t>Parâmetros de cálculo:</t>
  </si>
  <si>
    <t>Correção monetária após a data da autuação: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</si>
</sst>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yy"/>
    <numFmt numFmtId="165" formatCode="0.000000000"/>
    <numFmt numFmtId="166" formatCode="0.000000"/>
    <numFmt numFmtId="167" formatCode="0.0000%"/>
    <numFmt numFmtId="168" formatCode="0.0000"/>
    <numFmt numFmtId="169" formatCode="0.0%"/>
    <numFmt numFmtId="170" formatCode="0.00000"/>
    <numFmt numFmtId="171" formatCode="0.000"/>
    <numFmt numFmtId="172" formatCode="[$-416]dddd\,\ d&quot; de &quot;mmmm&quot; de &quot;yyyy"/>
    <numFmt numFmtId="173" formatCode="[$-416]d\ \ mmmm\,\ yyyy;@"/>
    <numFmt numFmtId="174" formatCode="[$-F800]dddd\,\ mmmm\ dd\,\ yyyy"/>
    <numFmt numFmtId="175" formatCode="[$-416]d\ \ mmmm&quot; de &quot;yyyy;@"/>
    <numFmt numFmtId="176" formatCode="[$-416]d\ \ mmmm&quot; de &quot;yyyy&quot;.&quot;"/>
    <numFmt numFmtId="177" formatCode="[$-416]d&quot; de &quot;mmmm&quot; de &quot;yyyy&quot;.&quot;"/>
    <numFmt numFmtId="178" formatCode="[$-416]dd&quot; de &quot;mmmm&quot; de &quot;yyyy&quot;.&quot;"/>
    <numFmt numFmtId="179" formatCode="0.000%"/>
    <numFmt numFmtId="180" formatCode="_(* #,##0.00_);_(* \(#,##0.00\);_(* &quot;-&quot;??_);_(@_)"/>
    <numFmt numFmtId="181" formatCode="#,##0.0000%"/>
    <numFmt numFmtId="182" formatCode="0.0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  <numFmt numFmtId="192" formatCode="0.0000000"/>
    <numFmt numFmtId="193" formatCode="0.00000000"/>
    <numFmt numFmtId="194" formatCode="0.00000%"/>
    <numFmt numFmtId="195" formatCode="#,##0.00_ ;[Red]\-#,##0.00\ "/>
    <numFmt numFmtId="196" formatCode="mmm/yyyy"/>
  </numFmts>
  <fonts count="62">
    <font>
      <sz val="11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9"/>
      <name val="Tahoma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color indexed="10"/>
      <name val="Tahoma"/>
      <family val="2"/>
    </font>
    <font>
      <b/>
      <sz val="11"/>
      <color indexed="10"/>
      <name val="Calibri"/>
      <family val="2"/>
    </font>
    <font>
      <b/>
      <sz val="11"/>
      <color indexed="22"/>
      <name val="Calibri"/>
      <family val="2"/>
    </font>
    <font>
      <sz val="7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17"/>
      <name val="Calibri"/>
      <family val="2"/>
    </font>
    <font>
      <b/>
      <sz val="9"/>
      <name val="Tahoma"/>
      <family val="2"/>
    </font>
    <font>
      <sz val="9"/>
      <name val="Segoe UI"/>
      <family val="2"/>
    </font>
    <font>
      <sz val="8"/>
      <name val="Arial"/>
      <family val="2"/>
    </font>
    <font>
      <sz val="9"/>
      <name val="Calibri"/>
      <family val="2"/>
    </font>
    <font>
      <b/>
      <sz val="6"/>
      <name val="Times New Roman"/>
      <family val="1"/>
    </font>
    <font>
      <b/>
      <sz val="9"/>
      <color indexed="10"/>
      <name val="Tahoma"/>
      <family val="2"/>
    </font>
    <font>
      <sz val="8"/>
      <name val="Times"/>
      <family val="1"/>
    </font>
    <font>
      <sz val="10"/>
      <color indexed="8"/>
      <name val="Times"/>
      <family val="1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color indexed="10"/>
      <name val="Calibri"/>
      <family val="2"/>
    </font>
    <font>
      <sz val="9"/>
      <color indexed="8"/>
      <name val="Calibri"/>
      <family val="2"/>
    </font>
    <font>
      <sz val="8"/>
      <color indexed="53"/>
      <name val="Calibri"/>
      <family val="2"/>
    </font>
    <font>
      <u val="single"/>
      <sz val="14.3"/>
      <color indexed="12"/>
      <name val="Calibri"/>
      <family val="2"/>
    </font>
    <font>
      <u val="single"/>
      <sz val="14.3"/>
      <color indexed="36"/>
      <name val="Calibri"/>
      <family val="2"/>
    </font>
    <font>
      <b/>
      <sz val="11"/>
      <color indexed="12"/>
      <name val="Calibri"/>
      <family val="2"/>
    </font>
    <font>
      <b/>
      <sz val="11"/>
      <color indexed="14"/>
      <name val="Calibri"/>
      <family val="2"/>
    </font>
    <font>
      <sz val="11"/>
      <color indexed="14"/>
      <name val="Calibri"/>
      <family val="2"/>
    </font>
    <font>
      <sz val="7"/>
      <name val="Arial"/>
      <family val="2"/>
    </font>
    <font>
      <b/>
      <sz val="8"/>
      <name val="Calibri"/>
      <family val="2"/>
    </font>
    <font>
      <sz val="7.5"/>
      <color indexed="10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7"/>
      <color indexed="10"/>
      <name val="Times"/>
      <family val="1"/>
    </font>
    <font>
      <b/>
      <sz val="9"/>
      <name val="Calibri"/>
      <family val="2"/>
    </font>
    <font>
      <sz val="12"/>
      <color indexed="10"/>
      <name val="Times"/>
      <family val="1"/>
    </font>
    <font>
      <sz val="12"/>
      <color indexed="10"/>
      <name val="Arial"/>
      <family val="2"/>
    </font>
    <font>
      <b/>
      <sz val="10"/>
      <color indexed="8"/>
      <name val="Times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4" borderId="0" applyNumberFormat="0" applyBorder="0" applyAlignment="0" applyProtection="0"/>
    <xf numFmtId="0" fontId="49" fillId="16" borderId="1" applyNumberFormat="0" applyAlignment="0" applyProtection="0"/>
    <xf numFmtId="0" fontId="50" fillId="17" borderId="2" applyNumberFormat="0" applyAlignment="0" applyProtection="0"/>
    <xf numFmtId="0" fontId="51" fillId="0" borderId="3" applyNumberFormat="0" applyFill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52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254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14" fillId="0" borderId="0" xfId="0" applyFont="1" applyFill="1" applyAlignment="1">
      <alignment/>
    </xf>
    <xf numFmtId="167" fontId="20" fillId="0" borderId="0" xfId="51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 horizontal="center"/>
    </xf>
    <xf numFmtId="0" fontId="3" fillId="0" borderId="0" xfId="51" applyNumberFormat="1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17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/>
      <protection hidden="1"/>
    </xf>
    <xf numFmtId="10" fontId="3" fillId="0" borderId="0" xfId="51" applyNumberFormat="1" applyFont="1" applyFill="1" applyAlignment="1" applyProtection="1">
      <alignment horizontal="left"/>
      <protection hidden="1"/>
    </xf>
    <xf numFmtId="169" fontId="3" fillId="0" borderId="0" xfId="51" applyNumberFormat="1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10" fontId="0" fillId="0" borderId="0" xfId="51" applyNumberFormat="1" applyFont="1" applyFill="1" applyAlignment="1" applyProtection="1">
      <alignment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10" fontId="25" fillId="0" borderId="11" xfId="51" applyNumberFormat="1" applyFont="1" applyFill="1" applyBorder="1" applyAlignment="1">
      <alignment horizontal="center"/>
    </xf>
    <xf numFmtId="17" fontId="36" fillId="0" borderId="0" xfId="0" applyNumberFormat="1" applyFont="1" applyFill="1" applyBorder="1" applyAlignment="1" applyProtection="1">
      <alignment wrapText="1"/>
      <protection hidden="1"/>
    </xf>
    <xf numFmtId="0" fontId="30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horizontal="left"/>
      <protection hidden="1"/>
    </xf>
    <xf numFmtId="17" fontId="36" fillId="0" borderId="0" xfId="0" applyNumberFormat="1" applyFont="1" applyFill="1" applyBorder="1" applyAlignment="1" applyProtection="1">
      <alignment horizontal="left" wrapText="1"/>
      <protection hidden="1"/>
    </xf>
    <xf numFmtId="0" fontId="38" fillId="0" borderId="0" xfId="0" applyNumberFormat="1" applyFont="1" applyFill="1" applyBorder="1" applyAlignment="1" applyProtection="1">
      <alignment vertical="top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 hidden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12" xfId="0" applyFill="1" applyBorder="1" applyAlignment="1" applyProtection="1">
      <alignment/>
      <protection hidden="1"/>
    </xf>
    <xf numFmtId="0" fontId="3" fillId="0" borderId="13" xfId="51" applyNumberFormat="1" applyFont="1" applyFill="1" applyBorder="1" applyAlignment="1" applyProtection="1">
      <alignment horizontal="center"/>
      <protection hidden="1"/>
    </xf>
    <xf numFmtId="0" fontId="0" fillId="0" borderId="14" xfId="0" applyNumberFormat="1" applyFill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4" fontId="0" fillId="0" borderId="11" xfId="0" applyNumberFormat="1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right"/>
      <protection hidden="1"/>
    </xf>
    <xf numFmtId="0" fontId="0" fillId="0" borderId="16" xfId="0" applyFill="1" applyBorder="1" applyAlignment="1" applyProtection="1">
      <alignment horizontal="right"/>
      <protection hidden="1"/>
    </xf>
    <xf numFmtId="0" fontId="0" fillId="0" borderId="17" xfId="0" applyFill="1" applyBorder="1" applyAlignment="1" applyProtection="1">
      <alignment horizontal="right"/>
      <protection hidden="1"/>
    </xf>
    <xf numFmtId="0" fontId="19" fillId="0" borderId="18" xfId="0" applyFont="1" applyFill="1" applyBorder="1" applyAlignment="1" applyProtection="1">
      <alignment horizontal="center" vertical="center" wrapText="1"/>
      <protection hidden="1"/>
    </xf>
    <xf numFmtId="0" fontId="19" fillId="0" borderId="19" xfId="0" applyFont="1" applyFill="1" applyBorder="1" applyAlignment="1" applyProtection="1">
      <alignment horizontal="center" vertical="center" wrapText="1"/>
      <protection hidden="1"/>
    </xf>
    <xf numFmtId="17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17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21" xfId="0" applyNumberForma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wrapText="1"/>
      <protection hidden="1"/>
    </xf>
    <xf numFmtId="17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23" xfId="0" applyNumberFormat="1" applyFill="1" applyBorder="1" applyAlignment="1" applyProtection="1">
      <alignment horizontal="center" vertical="center" wrapText="1"/>
      <protection hidden="1"/>
    </xf>
    <xf numFmtId="4" fontId="1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right" vertical="center" wrapText="1"/>
      <protection hidden="1"/>
    </xf>
    <xf numFmtId="195" fontId="1" fillId="0" borderId="0" xfId="0" applyNumberFormat="1" applyFont="1" applyFill="1" applyBorder="1" applyAlignment="1" applyProtection="1">
      <alignment horizontal="right" vertical="center" wrapText="1"/>
      <protection hidden="1"/>
    </xf>
    <xf numFmtId="167" fontId="43" fillId="0" borderId="23" xfId="51" applyNumberFormat="1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23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49" fontId="7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9" fillId="0" borderId="0" xfId="0" applyFont="1" applyFill="1" applyAlignment="1" applyProtection="1">
      <alignment/>
      <protection hidden="1"/>
    </xf>
    <xf numFmtId="0" fontId="28" fillId="0" borderId="0" xfId="0" applyFont="1" applyFill="1" applyBorder="1" applyAlignment="1" applyProtection="1">
      <alignment vertical="top"/>
      <protection hidden="1"/>
    </xf>
    <xf numFmtId="49" fontId="1" fillId="4" borderId="11" xfId="0" applyNumberFormat="1" applyFont="1" applyFill="1" applyBorder="1" applyAlignment="1" applyProtection="1">
      <alignment horizontal="center"/>
      <protection locked="0"/>
    </xf>
    <xf numFmtId="49" fontId="7" fillId="4" borderId="11" xfId="0" applyNumberFormat="1" applyFont="1" applyFill="1" applyBorder="1" applyAlignment="1" applyProtection="1">
      <alignment horizontal="center"/>
      <protection locked="0"/>
    </xf>
    <xf numFmtId="0" fontId="29" fillId="4" borderId="11" xfId="0" applyFont="1" applyFill="1" applyBorder="1" applyAlignment="1" applyProtection="1">
      <alignment horizontal="center"/>
      <protection locked="0"/>
    </xf>
    <xf numFmtId="17" fontId="15" fillId="4" borderId="11" xfId="0" applyNumberFormat="1" applyFont="1" applyFill="1" applyBorder="1" applyAlignment="1" applyProtection="1">
      <alignment horizontal="center" vertical="center"/>
      <protection locked="0"/>
    </xf>
    <xf numFmtId="4" fontId="0" fillId="4" borderId="11" xfId="0" applyNumberFormat="1" applyFill="1" applyBorder="1" applyAlignment="1" applyProtection="1">
      <alignment horizontal="center" vertical="center" wrapText="1"/>
      <protection locked="0"/>
    </xf>
    <xf numFmtId="17" fontId="5" fillId="4" borderId="11" xfId="0" applyNumberFormat="1" applyFont="1" applyFill="1" applyBorder="1" applyAlignment="1" applyProtection="1">
      <alignment horizontal="center" vertical="center" wrapText="1"/>
      <protection locked="0"/>
    </xf>
    <xf numFmtId="169" fontId="5" fillId="4" borderId="11" xfId="0" applyNumberFormat="1" applyFont="1" applyFill="1" applyBorder="1" applyAlignment="1" applyProtection="1">
      <alignment horizontal="center"/>
      <protection locked="0"/>
    </xf>
    <xf numFmtId="9" fontId="26" fillId="4" borderId="11" xfId="51" applyFont="1" applyFill="1" applyBorder="1" applyAlignment="1" applyProtection="1">
      <alignment horizontal="center"/>
      <protection locked="0"/>
    </xf>
    <xf numFmtId="17" fontId="5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5" fillId="0" borderId="0" xfId="0" applyFont="1" applyFill="1" applyAlignment="1" applyProtection="1">
      <alignment vertical="center"/>
      <protection hidden="1"/>
    </xf>
    <xf numFmtId="0" fontId="44" fillId="0" borderId="0" xfId="0" applyNumberFormat="1" applyFont="1" applyFill="1" applyBorder="1" applyAlignment="1" applyProtection="1">
      <alignment horizontal="left" vertical="top"/>
      <protection hidden="1"/>
    </xf>
    <xf numFmtId="17" fontId="45" fillId="0" borderId="0" xfId="0" applyNumberFormat="1" applyFont="1" applyFill="1" applyBorder="1" applyAlignment="1" applyProtection="1">
      <alignment horizontal="right" vertical="top" wrapText="1"/>
      <protection hidden="1"/>
    </xf>
    <xf numFmtId="14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0" fontId="0" fillId="0" borderId="14" xfId="0" applyFill="1" applyBorder="1" applyAlignment="1" applyProtection="1">
      <alignment vertical="center"/>
      <protection hidden="1"/>
    </xf>
    <xf numFmtId="0" fontId="25" fillId="0" borderId="14" xfId="0" applyFont="1" applyFill="1" applyBorder="1" applyAlignment="1" applyProtection="1">
      <alignment vertical="center"/>
      <protection hidden="1"/>
    </xf>
    <xf numFmtId="0" fontId="19" fillId="0" borderId="25" xfId="0" applyFont="1" applyFill="1" applyBorder="1" applyAlignment="1" applyProtection="1">
      <alignment horizont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24" fillId="0" borderId="11" xfId="0" applyFont="1" applyFill="1" applyBorder="1" applyAlignment="1" applyProtection="1">
      <alignment horizontal="right" wrapText="1"/>
      <protection hidden="1"/>
    </xf>
    <xf numFmtId="0" fontId="24" fillId="0" borderId="24" xfId="0" applyFont="1" applyFill="1" applyBorder="1" applyAlignment="1" applyProtection="1">
      <alignment horizontal="right" wrapText="1"/>
      <protection hidden="1"/>
    </xf>
    <xf numFmtId="0" fontId="24" fillId="0" borderId="22" xfId="0" applyFont="1" applyFill="1" applyBorder="1" applyAlignment="1" applyProtection="1">
      <alignment horizontal="right" wrapText="1"/>
      <protection hidden="1"/>
    </xf>
    <xf numFmtId="0" fontId="0" fillId="0" borderId="26" xfId="0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 applyProtection="1">
      <alignment horizontal="left" wrapText="1"/>
      <protection hidden="1"/>
    </xf>
    <xf numFmtId="43" fontId="24" fillId="0" borderId="0" xfId="53" applyFont="1" applyFill="1" applyBorder="1" applyAlignment="1" applyProtection="1">
      <alignment horizontal="left" vertical="center"/>
      <protection hidden="1"/>
    </xf>
    <xf numFmtId="0" fontId="0" fillId="0" borderId="27" xfId="0" applyFill="1" applyBorder="1" applyAlignment="1" applyProtection="1">
      <alignment vertical="center" wrapText="1"/>
      <protection hidden="1"/>
    </xf>
    <xf numFmtId="169" fontId="0" fillId="0" borderId="27" xfId="0" applyNumberFormat="1" applyFill="1" applyBorder="1" applyAlignment="1" applyProtection="1">
      <alignment horizontal="left" vertical="center" wrapText="1"/>
      <protection hidden="1"/>
    </xf>
    <xf numFmtId="0" fontId="0" fillId="0" borderId="28" xfId="0" applyFill="1" applyBorder="1" applyAlignment="1" applyProtection="1">
      <alignment vertical="center" wrapText="1"/>
      <protection hidden="1"/>
    </xf>
    <xf numFmtId="169" fontId="0" fillId="0" borderId="28" xfId="0" applyNumberFormat="1" applyFill="1" applyBorder="1" applyAlignment="1" applyProtection="1">
      <alignment horizontal="left" vertical="center" wrapText="1"/>
      <protection hidden="1"/>
    </xf>
    <xf numFmtId="166" fontId="0" fillId="0" borderId="29" xfId="0" applyNumberFormat="1" applyFill="1" applyBorder="1" applyAlignment="1" applyProtection="1">
      <alignment horizontal="center" vertical="center" wrapText="1"/>
      <protection hidden="1"/>
    </xf>
    <xf numFmtId="166" fontId="0" fillId="0" borderId="30" xfId="0" applyNumberForma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7" fillId="10" borderId="26" xfId="0" applyFont="1" applyFill="1" applyBorder="1" applyAlignment="1" applyProtection="1">
      <alignment horizontal="center"/>
      <protection hidden="1"/>
    </xf>
    <xf numFmtId="0" fontId="27" fillId="24" borderId="26" xfId="0" applyFont="1" applyFill="1" applyBorder="1" applyAlignment="1" applyProtection="1">
      <alignment horizontal="center"/>
      <protection hidden="1"/>
    </xf>
    <xf numFmtId="0" fontId="27" fillId="15" borderId="11" xfId="0" applyFont="1" applyFill="1" applyBorder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68" fontId="14" fillId="0" borderId="0" xfId="0" applyNumberFormat="1" applyFont="1" applyAlignment="1" applyProtection="1">
      <alignment/>
      <protection hidden="1"/>
    </xf>
    <xf numFmtId="196" fontId="8" fillId="0" borderId="0" xfId="0" applyNumberFormat="1" applyFont="1" applyAlignment="1" applyProtection="1">
      <alignment/>
      <protection hidden="1"/>
    </xf>
    <xf numFmtId="17" fontId="0" fillId="0" borderId="0" xfId="0" applyNumberFormat="1" applyAlignment="1" applyProtection="1">
      <alignment/>
      <protection hidden="1"/>
    </xf>
    <xf numFmtId="187" fontId="0" fillId="0" borderId="0" xfId="0" applyNumberFormat="1" applyAlignment="1" applyProtection="1">
      <alignment/>
      <protection hidden="1"/>
    </xf>
    <xf numFmtId="167" fontId="0" fillId="10" borderId="0" xfId="0" applyNumberFormat="1" applyFill="1" applyAlignment="1" applyProtection="1">
      <alignment/>
      <protection hidden="1"/>
    </xf>
    <xf numFmtId="167" fontId="0" fillId="24" borderId="0" xfId="0" applyNumberFormat="1" applyFill="1" applyAlignment="1" applyProtection="1">
      <alignment/>
      <protection hidden="1"/>
    </xf>
    <xf numFmtId="10" fontId="0" fillId="15" borderId="0" xfId="0" applyNumberFormat="1" applyFill="1" applyAlignment="1" applyProtection="1">
      <alignment/>
      <protection hidden="1"/>
    </xf>
    <xf numFmtId="168" fontId="0" fillId="0" borderId="0" xfId="0" applyNumberFormat="1" applyAlignment="1" applyProtection="1">
      <alignment/>
      <protection hidden="1"/>
    </xf>
    <xf numFmtId="167" fontId="0" fillId="23" borderId="0" xfId="0" applyNumberFormat="1" applyFill="1" applyAlignment="1" applyProtection="1">
      <alignment/>
      <protection hidden="1"/>
    </xf>
    <xf numFmtId="181" fontId="0" fillId="0" borderId="0" xfId="0" applyNumberFormat="1" applyAlignment="1" applyProtection="1">
      <alignment/>
      <protection hidden="1"/>
    </xf>
    <xf numFmtId="196" fontId="0" fillId="0" borderId="0" xfId="0" applyNumberFormat="1" applyAlignment="1" applyProtection="1">
      <alignment/>
      <protection hidden="1"/>
    </xf>
    <xf numFmtId="17" fontId="0" fillId="24" borderId="0" xfId="0" applyNumberFormat="1" applyFill="1" applyAlignment="1" applyProtection="1">
      <alignment/>
      <protection hidden="1"/>
    </xf>
    <xf numFmtId="17" fontId="9" fillId="0" borderId="0" xfId="0" applyNumberFormat="1" applyFont="1" applyAlignment="1" applyProtection="1">
      <alignment/>
      <protection hidden="1"/>
    </xf>
    <xf numFmtId="167" fontId="10" fillId="23" borderId="0" xfId="0" applyNumberFormat="1" applyFont="1" applyFill="1" applyAlignment="1" applyProtection="1">
      <alignment/>
      <protection hidden="1"/>
    </xf>
    <xf numFmtId="167" fontId="9" fillId="23" borderId="0" xfId="0" applyNumberFormat="1" applyFont="1" applyFill="1" applyAlignment="1" applyProtection="1">
      <alignment/>
      <protection hidden="1"/>
    </xf>
    <xf numFmtId="17" fontId="10" fillId="25" borderId="0" xfId="0" applyNumberFormat="1" applyFont="1" applyFill="1" applyAlignment="1" applyProtection="1">
      <alignment/>
      <protection hidden="1"/>
    </xf>
    <xf numFmtId="17" fontId="0" fillId="11" borderId="0" xfId="0" applyNumberFormat="1" applyFill="1" applyAlignment="1" applyProtection="1">
      <alignment/>
      <protection hidden="1"/>
    </xf>
    <xf numFmtId="17" fontId="0" fillId="10" borderId="0" xfId="0" applyNumberFormat="1" applyFill="1" applyAlignment="1" applyProtection="1">
      <alignment/>
      <protection hidden="1"/>
    </xf>
    <xf numFmtId="17" fontId="0" fillId="3" borderId="0" xfId="0" applyNumberFormat="1" applyFill="1" applyAlignment="1" applyProtection="1">
      <alignment/>
      <protection hidden="1"/>
    </xf>
    <xf numFmtId="17" fontId="12" fillId="0" borderId="0" xfId="0" applyNumberFormat="1" applyFont="1" applyAlignment="1" applyProtection="1">
      <alignment/>
      <protection hidden="1"/>
    </xf>
    <xf numFmtId="167" fontId="9" fillId="10" borderId="0" xfId="0" applyNumberFormat="1" applyFont="1" applyFill="1" applyAlignment="1" applyProtection="1">
      <alignment/>
      <protection hidden="1"/>
    </xf>
    <xf numFmtId="167" fontId="9" fillId="24" borderId="0" xfId="0" applyNumberFormat="1" applyFont="1" applyFill="1" applyAlignment="1" applyProtection="1">
      <alignment/>
      <protection hidden="1"/>
    </xf>
    <xf numFmtId="10" fontId="9" fillId="15" borderId="0" xfId="0" applyNumberFormat="1" applyFont="1" applyFill="1" applyAlignment="1" applyProtection="1">
      <alignment/>
      <protection hidden="1"/>
    </xf>
    <xf numFmtId="17" fontId="0" fillId="3" borderId="0" xfId="0" applyNumberFormat="1" applyFont="1" applyFill="1" applyAlignment="1" applyProtection="1">
      <alignment/>
      <protection hidden="1"/>
    </xf>
    <xf numFmtId="0" fontId="0" fillId="3" borderId="0" xfId="0" applyNumberFormat="1" applyFill="1" applyAlignment="1" applyProtection="1">
      <alignment/>
      <protection hidden="1"/>
    </xf>
    <xf numFmtId="167" fontId="0" fillId="3" borderId="0" xfId="0" applyNumberFormat="1" applyFill="1" applyAlignment="1" applyProtection="1">
      <alignment/>
      <protection hidden="1"/>
    </xf>
    <xf numFmtId="10" fontId="0" fillId="3" borderId="0" xfId="0" applyNumberFormat="1" applyFill="1" applyAlignment="1" applyProtection="1">
      <alignment/>
      <protection hidden="1"/>
    </xf>
    <xf numFmtId="167" fontId="0" fillId="24" borderId="0" xfId="51" applyNumberFormat="1" applyFont="1" applyFill="1" applyAlignment="1" applyProtection="1">
      <alignment/>
      <protection hidden="1"/>
    </xf>
    <xf numFmtId="17" fontId="33" fillId="10" borderId="0" xfId="0" applyNumberFormat="1" applyFont="1" applyFill="1" applyAlignment="1" applyProtection="1">
      <alignment/>
      <protection hidden="1"/>
    </xf>
    <xf numFmtId="0" fontId="0" fillId="10" borderId="0" xfId="0" applyNumberFormat="1" applyFill="1" applyAlignment="1" applyProtection="1">
      <alignment/>
      <protection hidden="1"/>
    </xf>
    <xf numFmtId="167" fontId="10" fillId="10" borderId="0" xfId="0" applyNumberFormat="1" applyFont="1" applyFill="1" applyAlignment="1" applyProtection="1">
      <alignment/>
      <protection hidden="1"/>
    </xf>
    <xf numFmtId="167" fontId="10" fillId="24" borderId="0" xfId="0" applyNumberFormat="1" applyFont="1" applyFill="1" applyAlignment="1" applyProtection="1">
      <alignment/>
      <protection hidden="1"/>
    </xf>
    <xf numFmtId="10" fontId="10" fillId="15" borderId="0" xfId="0" applyNumberFormat="1" applyFont="1" applyFill="1" applyAlignment="1" applyProtection="1">
      <alignment/>
      <protection hidden="1"/>
    </xf>
    <xf numFmtId="17" fontId="34" fillId="26" borderId="0" xfId="0" applyNumberFormat="1" applyFont="1" applyFill="1" applyAlignment="1" applyProtection="1">
      <alignment/>
      <protection hidden="1"/>
    </xf>
    <xf numFmtId="0" fontId="0" fillId="26" borderId="0" xfId="0" applyNumberFormat="1" applyFill="1" applyAlignment="1" applyProtection="1">
      <alignment/>
      <protection hidden="1"/>
    </xf>
    <xf numFmtId="10" fontId="35" fillId="15" borderId="0" xfId="0" applyNumberFormat="1" applyFont="1" applyFill="1" applyAlignment="1" applyProtection="1">
      <alignment/>
      <protection hidden="1"/>
    </xf>
    <xf numFmtId="4" fontId="0" fillId="0" borderId="31" xfId="0" applyNumberFormat="1" applyFill="1" applyBorder="1" applyAlignment="1" applyProtection="1">
      <alignment horizontal="center" vertical="center" wrapText="1"/>
      <protection hidden="1"/>
    </xf>
    <xf numFmtId="0" fontId="24" fillId="0" borderId="11" xfId="0" applyFont="1" applyFill="1" applyBorder="1" applyAlignment="1" applyProtection="1">
      <alignment horizontal="right"/>
      <protection hidden="1"/>
    </xf>
    <xf numFmtId="0" fontId="24" fillId="0" borderId="11" xfId="0" applyFont="1" applyFill="1" applyBorder="1" applyAlignment="1" applyProtection="1">
      <alignment horizontal="right" wrapText="1"/>
      <protection hidden="1"/>
    </xf>
    <xf numFmtId="0" fontId="46" fillId="0" borderId="11" xfId="0" applyFont="1" applyFill="1" applyBorder="1" applyAlignment="1" applyProtection="1">
      <alignment horizontal="right" wrapText="1"/>
      <protection hidden="1"/>
    </xf>
    <xf numFmtId="0" fontId="24" fillId="0" borderId="26" xfId="0" applyFont="1" applyFill="1" applyBorder="1" applyAlignment="1" applyProtection="1">
      <alignment horizontal="right" wrapText="1"/>
      <protection hidden="1"/>
    </xf>
    <xf numFmtId="0" fontId="24" fillId="0" borderId="32" xfId="0" applyFont="1" applyFill="1" applyBorder="1" applyAlignment="1" applyProtection="1">
      <alignment horizontal="right" wrapText="1"/>
      <protection hidden="1"/>
    </xf>
    <xf numFmtId="4" fontId="0" fillId="0" borderId="33" xfId="0" applyNumberFormat="1" applyFill="1" applyBorder="1" applyAlignment="1" applyProtection="1">
      <alignment horizontal="center" vertical="center" wrapText="1"/>
      <protection hidden="1"/>
    </xf>
    <xf numFmtId="0" fontId="24" fillId="0" borderId="11" xfId="0" applyFont="1" applyFill="1" applyBorder="1" applyAlignment="1" applyProtection="1">
      <alignment horizontal="center" vertical="center" wrapText="1"/>
      <protection hidden="1"/>
    </xf>
    <xf numFmtId="0" fontId="42" fillId="0" borderId="34" xfId="0" applyNumberFormat="1" applyFont="1" applyFill="1" applyBorder="1" applyAlignment="1" applyProtection="1">
      <alignment horizontal="justify" vertical="top" wrapText="1"/>
      <protection hidden="1"/>
    </xf>
    <xf numFmtId="0" fontId="42" fillId="0" borderId="0" xfId="0" applyNumberFormat="1" applyFont="1" applyFill="1" applyBorder="1" applyAlignment="1" applyProtection="1">
      <alignment horizontal="justify" vertical="top" wrapText="1"/>
      <protection hidden="1"/>
    </xf>
    <xf numFmtId="0" fontId="19" fillId="0" borderId="18" xfId="0" applyFont="1" applyFill="1" applyBorder="1" applyAlignment="1" applyProtection="1">
      <alignment horizontal="center" vertical="center" wrapText="1"/>
      <protection hidden="1"/>
    </xf>
    <xf numFmtId="0" fontId="19" fillId="0" borderId="35" xfId="0" applyFont="1" applyFill="1" applyBorder="1" applyAlignment="1" applyProtection="1">
      <alignment horizontal="center" vertical="center" wrapText="1"/>
      <protection hidden="1"/>
    </xf>
    <xf numFmtId="49" fontId="0" fillId="0" borderId="36" xfId="0" applyNumberFormat="1" applyFill="1" applyBorder="1" applyAlignment="1" applyProtection="1">
      <alignment horizontal="left"/>
      <protection hidden="1"/>
    </xf>
    <xf numFmtId="0" fontId="0" fillId="0" borderId="37" xfId="0" applyFill="1" applyBorder="1" applyAlignment="1" applyProtection="1">
      <alignment horizontal="left"/>
      <protection hidden="1"/>
    </xf>
    <xf numFmtId="0" fontId="0" fillId="0" borderId="38" xfId="0" applyFill="1" applyBorder="1" applyAlignment="1" applyProtection="1">
      <alignment horizontal="left"/>
      <protection hidden="1"/>
    </xf>
    <xf numFmtId="0" fontId="5" fillId="4" borderId="39" xfId="0" applyFont="1" applyFill="1" applyBorder="1" applyAlignment="1" applyProtection="1">
      <alignment horizontal="justify" vertical="top" wrapText="1"/>
      <protection locked="0"/>
    </xf>
    <xf numFmtId="0" fontId="5" fillId="4" borderId="27" xfId="0" applyFont="1" applyFill="1" applyBorder="1" applyAlignment="1" applyProtection="1">
      <alignment horizontal="justify" vertical="top" wrapText="1"/>
      <protection locked="0"/>
    </xf>
    <xf numFmtId="0" fontId="5" fillId="4" borderId="40" xfId="0" applyFont="1" applyFill="1" applyBorder="1" applyAlignment="1" applyProtection="1">
      <alignment horizontal="justify" vertical="top" wrapText="1"/>
      <protection locked="0"/>
    </xf>
    <xf numFmtId="0" fontId="5" fillId="4" borderId="34" xfId="0" applyFont="1" applyFill="1" applyBorder="1" applyAlignment="1" applyProtection="1">
      <alignment horizontal="justify" vertical="top" wrapText="1"/>
      <protection locked="0"/>
    </xf>
    <xf numFmtId="0" fontId="5" fillId="4" borderId="0" xfId="0" applyFont="1" applyFill="1" applyBorder="1" applyAlignment="1" applyProtection="1">
      <alignment horizontal="justify" vertical="top" wrapText="1"/>
      <protection locked="0"/>
    </xf>
    <xf numFmtId="0" fontId="5" fillId="4" borderId="19" xfId="0" applyFont="1" applyFill="1" applyBorder="1" applyAlignment="1" applyProtection="1">
      <alignment horizontal="justify" vertical="top" wrapText="1"/>
      <protection locked="0"/>
    </xf>
    <xf numFmtId="0" fontId="5" fillId="4" borderId="41" xfId="0" applyFont="1" applyFill="1" applyBorder="1" applyAlignment="1" applyProtection="1">
      <alignment horizontal="justify" vertical="top" wrapText="1"/>
      <protection locked="0"/>
    </xf>
    <xf numFmtId="0" fontId="5" fillId="4" borderId="28" xfId="0" applyFont="1" applyFill="1" applyBorder="1" applyAlignment="1" applyProtection="1">
      <alignment horizontal="justify" vertical="top" wrapText="1"/>
      <protection locked="0"/>
    </xf>
    <xf numFmtId="0" fontId="5" fillId="4" borderId="35" xfId="0" applyFont="1" applyFill="1" applyBorder="1" applyAlignment="1" applyProtection="1">
      <alignment horizontal="justify" vertical="top" wrapText="1"/>
      <protection locked="0"/>
    </xf>
    <xf numFmtId="0" fontId="39" fillId="0" borderId="41" xfId="0" applyFont="1" applyFill="1" applyBorder="1" applyAlignment="1" applyProtection="1">
      <alignment horizontal="center" vertical="center" wrapText="1"/>
      <protection hidden="1"/>
    </xf>
    <xf numFmtId="0" fontId="39" fillId="0" borderId="42" xfId="0" applyFont="1" applyFill="1" applyBorder="1" applyAlignment="1" applyProtection="1">
      <alignment horizontal="center" vertical="center" wrapText="1"/>
      <protection hidden="1"/>
    </xf>
    <xf numFmtId="49" fontId="0" fillId="0" borderId="33" xfId="0" applyNumberFormat="1" applyFill="1" applyBorder="1" applyAlignment="1" applyProtection="1">
      <alignment horizontal="left"/>
      <protection hidden="1"/>
    </xf>
    <xf numFmtId="0" fontId="0" fillId="0" borderId="43" xfId="0" applyFill="1" applyBorder="1" applyAlignment="1" applyProtection="1">
      <alignment horizontal="left"/>
      <protection hidden="1"/>
    </xf>
    <xf numFmtId="0" fontId="0" fillId="0" borderId="31" xfId="0" applyFill="1" applyBorder="1" applyAlignment="1" applyProtection="1">
      <alignment horizontal="left"/>
      <protection hidden="1"/>
    </xf>
    <xf numFmtId="0" fontId="19" fillId="0" borderId="44" xfId="0" applyFont="1" applyFill="1" applyBorder="1" applyAlignment="1" applyProtection="1">
      <alignment horizontal="center" vertical="center" wrapText="1"/>
      <protection hidden="1"/>
    </xf>
    <xf numFmtId="0" fontId="19" fillId="0" borderId="45" xfId="0" applyFont="1" applyFill="1" applyBorder="1" applyAlignment="1" applyProtection="1">
      <alignment horizontal="center" vertical="center" wrapText="1"/>
      <protection hidden="1"/>
    </xf>
    <xf numFmtId="0" fontId="19" fillId="0" borderId="46" xfId="0" applyFont="1" applyFill="1" applyBorder="1" applyAlignment="1" applyProtection="1">
      <alignment horizontal="center" vertical="center" wrapText="1"/>
      <protection hidden="1"/>
    </xf>
    <xf numFmtId="0" fontId="19" fillId="0" borderId="32" xfId="0" applyFont="1" applyFill="1" applyBorder="1" applyAlignment="1" applyProtection="1">
      <alignment horizontal="center" vertical="center" wrapText="1"/>
      <protection hidden="1"/>
    </xf>
    <xf numFmtId="0" fontId="39" fillId="0" borderId="28" xfId="0" applyFont="1" applyFill="1" applyBorder="1" applyAlignment="1" applyProtection="1">
      <alignment horizontal="center" vertical="center" wrapText="1"/>
      <protection hidden="1"/>
    </xf>
    <xf numFmtId="49" fontId="0" fillId="0" borderId="26" xfId="0" applyNumberFormat="1" applyFill="1" applyBorder="1" applyAlignment="1" applyProtection="1">
      <alignment horizontal="left"/>
      <protection hidden="1"/>
    </xf>
    <xf numFmtId="0" fontId="0" fillId="0" borderId="47" xfId="0" applyFill="1" applyBorder="1" applyAlignment="1" applyProtection="1">
      <alignment horizontal="left"/>
      <protection hidden="1"/>
    </xf>
    <xf numFmtId="0" fontId="0" fillId="0" borderId="48" xfId="0" applyFill="1" applyBorder="1" applyAlignment="1" applyProtection="1">
      <alignment horizontal="left"/>
      <protection hidden="1"/>
    </xf>
    <xf numFmtId="0" fontId="19" fillId="0" borderId="49" xfId="0" applyFont="1" applyFill="1" applyBorder="1" applyAlignment="1" applyProtection="1">
      <alignment horizontal="center" vertical="center" wrapText="1"/>
      <protection hidden="1"/>
    </xf>
    <xf numFmtId="0" fontId="19" fillId="0" borderId="50" xfId="0" applyFont="1" applyFill="1" applyBorder="1" applyAlignment="1" applyProtection="1">
      <alignment horizontal="center" vertical="center" wrapText="1"/>
      <protection hidden="1"/>
    </xf>
    <xf numFmtId="0" fontId="19" fillId="0" borderId="41" xfId="0" applyFont="1" applyFill="1" applyBorder="1" applyAlignment="1" applyProtection="1">
      <alignment horizontal="center" vertical="center" wrapText="1"/>
      <protection hidden="1"/>
    </xf>
    <xf numFmtId="0" fontId="19" fillId="0" borderId="42" xfId="0" applyFont="1" applyFill="1" applyBorder="1" applyAlignment="1" applyProtection="1">
      <alignment horizontal="center" vertical="center" wrapText="1"/>
      <protection hidden="1"/>
    </xf>
    <xf numFmtId="0" fontId="19" fillId="0" borderId="49" xfId="0" applyFont="1" applyFill="1" applyBorder="1" applyAlignment="1" applyProtection="1">
      <alignment horizontal="center" wrapText="1"/>
      <protection hidden="1"/>
    </xf>
    <xf numFmtId="0" fontId="19" fillId="0" borderId="50" xfId="0" applyFont="1" applyFill="1" applyBorder="1" applyAlignment="1" applyProtection="1">
      <alignment horizontal="center" wrapText="1"/>
      <protection hidden="1"/>
    </xf>
    <xf numFmtId="4" fontId="0" fillId="0" borderId="26" xfId="0" applyNumberFormat="1" applyFill="1" applyBorder="1" applyAlignment="1" applyProtection="1">
      <alignment horizontal="center" vertical="center" wrapText="1"/>
      <protection hidden="1"/>
    </xf>
    <xf numFmtId="4" fontId="0" fillId="0" borderId="48" xfId="0" applyNumberFormat="1" applyFill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 wrapText="1"/>
      <protection hidden="1"/>
    </xf>
    <xf numFmtId="17" fontId="1" fillId="0" borderId="51" xfId="0" applyNumberFormat="1" applyFont="1" applyFill="1" applyBorder="1" applyAlignment="1" applyProtection="1">
      <alignment horizontal="center" vertical="center" wrapText="1"/>
      <protection hidden="1"/>
    </xf>
    <xf numFmtId="17" fontId="1" fillId="0" borderId="45" xfId="0" applyNumberFormat="1" applyFont="1" applyFill="1" applyBorder="1" applyAlignment="1" applyProtection="1">
      <alignment horizontal="center" vertical="center" wrapText="1"/>
      <protection hidden="1"/>
    </xf>
    <xf numFmtId="17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52" xfId="0" applyFont="1" applyFill="1" applyBorder="1" applyAlignment="1" applyProtection="1">
      <alignment horizontal="center" vertical="center" wrapText="1"/>
      <protection hidden="1"/>
    </xf>
    <xf numFmtId="0" fontId="19" fillId="0" borderId="53" xfId="0" applyFont="1" applyFill="1" applyBorder="1" applyAlignment="1" applyProtection="1">
      <alignment horizontal="center" vertical="center" wrapText="1"/>
      <protection hidden="1"/>
    </xf>
    <xf numFmtId="0" fontId="1" fillId="0" borderId="52" xfId="0" applyFont="1" applyFill="1" applyBorder="1" applyAlignment="1" applyProtection="1">
      <alignment horizontal="center" vertical="center" wrapText="1"/>
      <protection hidden="1"/>
    </xf>
    <xf numFmtId="0" fontId="1" fillId="0" borderId="54" xfId="0" applyFont="1" applyFill="1" applyBorder="1" applyAlignment="1" applyProtection="1">
      <alignment horizontal="center" vertical="center" wrapText="1"/>
      <protection hidden="1"/>
    </xf>
    <xf numFmtId="0" fontId="1" fillId="0" borderId="55" xfId="0" applyFont="1" applyFill="1" applyBorder="1" applyAlignment="1" applyProtection="1">
      <alignment horizontal="center" vertical="center" wrapText="1"/>
      <protection hidden="1"/>
    </xf>
    <xf numFmtId="0" fontId="1" fillId="0" borderId="56" xfId="0" applyFont="1" applyFill="1" applyBorder="1" applyAlignment="1" applyProtection="1">
      <alignment horizontal="center" vertical="center" wrapText="1"/>
      <protection hidden="1"/>
    </xf>
    <xf numFmtId="0" fontId="40" fillId="0" borderId="49" xfId="0" applyFont="1" applyFill="1" applyBorder="1" applyAlignment="1" applyProtection="1">
      <alignment horizontal="center" wrapText="1"/>
      <protection hidden="1"/>
    </xf>
    <xf numFmtId="0" fontId="40" fillId="0" borderId="50" xfId="0" applyFont="1" applyFill="1" applyBorder="1" applyAlignment="1" applyProtection="1">
      <alignment horizontal="center" wrapText="1"/>
      <protection hidden="1"/>
    </xf>
    <xf numFmtId="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 applyProtection="1">
      <alignment horizontal="center" vertical="center" wrapText="1"/>
      <protection hidden="1"/>
    </xf>
    <xf numFmtId="17" fontId="41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41" fillId="0" borderId="58" xfId="0" applyFont="1" applyFill="1" applyBorder="1" applyAlignment="1" applyProtection="1">
      <alignment horizontal="center" vertical="center" wrapText="1"/>
      <protection hidden="1"/>
    </xf>
    <xf numFmtId="4" fontId="1" fillId="0" borderId="33" xfId="0" applyNumberFormat="1" applyFont="1" applyFill="1" applyBorder="1" applyAlignment="1" applyProtection="1">
      <alignment horizontal="center" vertical="center" wrapText="1"/>
      <protection hidden="1"/>
    </xf>
    <xf numFmtId="4" fontId="1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wrapText="1"/>
      <protection hidden="1"/>
    </xf>
    <xf numFmtId="0" fontId="19" fillId="0" borderId="59" xfId="0" applyFont="1" applyFill="1" applyBorder="1" applyAlignment="1" applyProtection="1">
      <alignment horizontal="center" wrapText="1"/>
      <protection hidden="1"/>
    </xf>
    <xf numFmtId="43" fontId="24" fillId="0" borderId="0" xfId="53" applyFont="1" applyFill="1" applyBorder="1" applyAlignment="1" applyProtection="1">
      <alignment horizontal="center" vertical="center"/>
      <protection hidden="1"/>
    </xf>
    <xf numFmtId="0" fontId="40" fillId="0" borderId="15" xfId="0" applyFont="1" applyFill="1" applyBorder="1" applyAlignment="1" applyProtection="1">
      <alignment horizontal="right" vertical="center" wrapText="1"/>
      <protection hidden="1"/>
    </xf>
    <xf numFmtId="0" fontId="40" fillId="0" borderId="60" xfId="0" applyFont="1" applyFill="1" applyBorder="1" applyAlignment="1" applyProtection="1">
      <alignment horizontal="right" vertical="center" wrapText="1"/>
      <protection hidden="1"/>
    </xf>
    <xf numFmtId="0" fontId="40" fillId="0" borderId="36" xfId="0" applyFont="1" applyFill="1" applyBorder="1" applyAlignment="1" applyProtection="1">
      <alignment horizontal="right" vertical="center" wrapText="1"/>
      <protection hidden="1"/>
    </xf>
    <xf numFmtId="0" fontId="40" fillId="0" borderId="51" xfId="0" applyFont="1" applyFill="1" applyBorder="1" applyAlignment="1" applyProtection="1">
      <alignment horizontal="right" vertical="center" wrapText="1"/>
      <protection hidden="1"/>
    </xf>
    <xf numFmtId="0" fontId="40" fillId="0" borderId="11" xfId="0" applyFont="1" applyFill="1" applyBorder="1" applyAlignment="1" applyProtection="1">
      <alignment horizontal="right" vertical="center" wrapText="1"/>
      <protection hidden="1"/>
    </xf>
    <xf numFmtId="0" fontId="40" fillId="0" borderId="26" xfId="0" applyFont="1" applyFill="1" applyBorder="1" applyAlignment="1" applyProtection="1">
      <alignment horizontal="right" vertical="center" wrapText="1"/>
      <protection hidden="1"/>
    </xf>
    <xf numFmtId="0" fontId="1" fillId="0" borderId="26" xfId="0" applyFont="1" applyFill="1" applyBorder="1" applyAlignment="1" applyProtection="1">
      <alignment horizontal="right" vertical="center" wrapText="1"/>
      <protection hidden="1"/>
    </xf>
    <xf numFmtId="0" fontId="1" fillId="0" borderId="47" xfId="0" applyFont="1" applyFill="1" applyBorder="1" applyAlignment="1" applyProtection="1">
      <alignment horizontal="right" vertical="center" wrapText="1"/>
      <protection hidden="1"/>
    </xf>
    <xf numFmtId="0" fontId="1" fillId="0" borderId="32" xfId="0" applyFont="1" applyFill="1" applyBorder="1" applyAlignment="1" applyProtection="1">
      <alignment horizontal="right" vertical="center" wrapText="1"/>
      <protection hidden="1"/>
    </xf>
    <xf numFmtId="17" fontId="0" fillId="0" borderId="26" xfId="0" applyNumberFormat="1" applyFill="1" applyBorder="1" applyAlignment="1" applyProtection="1">
      <alignment horizontal="left" vertical="center" wrapText="1"/>
      <protection hidden="1"/>
    </xf>
    <xf numFmtId="17" fontId="0" fillId="0" borderId="47" xfId="0" applyNumberFormat="1" applyFill="1" applyBorder="1" applyAlignment="1" applyProtection="1">
      <alignment horizontal="left" vertical="center" wrapText="1"/>
      <protection hidden="1"/>
    </xf>
    <xf numFmtId="17" fontId="0" fillId="0" borderId="32" xfId="0" applyNumberFormat="1" applyFill="1" applyBorder="1" applyAlignment="1" applyProtection="1">
      <alignment horizontal="left" vertical="center" wrapText="1"/>
      <protection hidden="1"/>
    </xf>
    <xf numFmtId="169" fontId="0" fillId="0" borderId="26" xfId="0" applyNumberFormat="1" applyFill="1" applyBorder="1" applyAlignment="1" applyProtection="1">
      <alignment horizontal="left" vertical="center" wrapText="1"/>
      <protection hidden="1"/>
    </xf>
    <xf numFmtId="169" fontId="0" fillId="0" borderId="47" xfId="0" applyNumberFormat="1" applyFill="1" applyBorder="1" applyAlignment="1" applyProtection="1">
      <alignment horizontal="left" vertical="center" wrapText="1"/>
      <protection hidden="1"/>
    </xf>
    <xf numFmtId="169" fontId="0" fillId="0" borderId="32" xfId="0" applyNumberFormat="1" applyFill="1" applyBorder="1" applyAlignment="1" applyProtection="1">
      <alignment horizontal="left" vertical="center" wrapText="1"/>
      <protection hidden="1"/>
    </xf>
    <xf numFmtId="0" fontId="24" fillId="0" borderId="0" xfId="0" applyFont="1" applyFill="1" applyBorder="1" applyAlignment="1" applyProtection="1">
      <alignment horizontal="right" vertical="center" wrapText="1"/>
      <protection hidden="1"/>
    </xf>
    <xf numFmtId="0" fontId="1" fillId="0" borderId="61" xfId="0" applyFont="1" applyFill="1" applyBorder="1" applyAlignment="1" applyProtection="1">
      <alignment horizontal="right" vertical="center" wrapText="1"/>
      <protection hidden="1"/>
    </xf>
    <xf numFmtId="0" fontId="1" fillId="0" borderId="30" xfId="0" applyFont="1" applyFill="1" applyBorder="1" applyAlignment="1" applyProtection="1">
      <alignment horizontal="right" vertical="center" wrapText="1"/>
      <protection hidden="1"/>
    </xf>
    <xf numFmtId="0" fontId="1" fillId="0" borderId="57" xfId="0" applyFont="1" applyFill="1" applyBorder="1" applyAlignment="1" applyProtection="1">
      <alignment horizontal="right" vertical="center" wrapText="1"/>
      <protection hidden="1"/>
    </xf>
    <xf numFmtId="0" fontId="0" fillId="0" borderId="39" xfId="0" applyFill="1" applyBorder="1" applyAlignment="1" applyProtection="1">
      <alignment horizontal="left" vertical="top" wrapText="1"/>
      <protection hidden="1"/>
    </xf>
    <xf numFmtId="0" fontId="0" fillId="0" borderId="27" xfId="0" applyFill="1" applyBorder="1" applyAlignment="1" applyProtection="1">
      <alignment horizontal="left" vertical="top" wrapText="1"/>
      <protection hidden="1"/>
    </xf>
    <xf numFmtId="0" fontId="0" fillId="0" borderId="40" xfId="0" applyFill="1" applyBorder="1" applyAlignment="1" applyProtection="1">
      <alignment horizontal="left" vertical="top" wrapText="1"/>
      <protection hidden="1"/>
    </xf>
    <xf numFmtId="0" fontId="0" fillId="0" borderId="34" xfId="0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0" fontId="0" fillId="0" borderId="19" xfId="0" applyFill="1" applyBorder="1" applyAlignment="1" applyProtection="1">
      <alignment horizontal="left" vertical="top" wrapText="1"/>
      <protection hidden="1"/>
    </xf>
    <xf numFmtId="0" fontId="0" fillId="0" borderId="41" xfId="0" applyFill="1" applyBorder="1" applyAlignment="1" applyProtection="1">
      <alignment horizontal="left" vertical="top" wrapText="1"/>
      <protection hidden="1"/>
    </xf>
    <xf numFmtId="0" fontId="0" fillId="0" borderId="28" xfId="0" applyFill="1" applyBorder="1" applyAlignment="1" applyProtection="1">
      <alignment horizontal="left" vertical="top" wrapText="1"/>
      <protection hidden="1"/>
    </xf>
    <xf numFmtId="0" fontId="0" fillId="0" borderId="35" xfId="0" applyFill="1" applyBorder="1" applyAlignment="1" applyProtection="1">
      <alignment horizontal="left" vertical="top" wrapText="1"/>
      <protection hidden="1"/>
    </xf>
    <xf numFmtId="4" fontId="7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48" xfId="0" applyFont="1" applyFill="1" applyBorder="1" applyAlignment="1" applyProtection="1">
      <alignment horizontal="center" vertical="center" wrapText="1"/>
      <protection hidden="1"/>
    </xf>
    <xf numFmtId="4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4" fontId="1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8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right" vertical="center" wrapText="1"/>
      <protection hidden="1"/>
    </xf>
    <xf numFmtId="0" fontId="25" fillId="0" borderId="26" xfId="0" applyFont="1" applyFill="1" applyBorder="1" applyAlignment="1" applyProtection="1">
      <alignment horizontal="center" vertical="center" wrapText="1"/>
      <protection hidden="1"/>
    </xf>
    <xf numFmtId="0" fontId="25" fillId="0" borderId="47" xfId="0" applyFont="1" applyFill="1" applyBorder="1" applyAlignment="1" applyProtection="1">
      <alignment horizontal="center" vertical="center" wrapText="1"/>
      <protection hidden="1"/>
    </xf>
    <xf numFmtId="0" fontId="25" fillId="0" borderId="32" xfId="0" applyFont="1" applyFill="1" applyBorder="1" applyAlignment="1" applyProtection="1">
      <alignment horizontal="center" vertical="center" wrapText="1"/>
      <protection hidden="1"/>
    </xf>
    <xf numFmtId="0" fontId="0" fillId="0" borderId="26" xfId="0" applyFill="1" applyBorder="1" applyAlignment="1" applyProtection="1">
      <alignment horizontal="center"/>
      <protection hidden="1"/>
    </xf>
    <xf numFmtId="0" fontId="0" fillId="0" borderId="32" xfId="0" applyFill="1" applyBorder="1" applyAlignment="1" applyProtection="1">
      <alignment horizont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indexed="11"/>
  </sheetPr>
  <dimension ref="A1:AE75"/>
  <sheetViews>
    <sheetView showGridLines="0" showRowColHeaders="0" showZeros="0" tabSelected="1" zoomScale="110" zoomScaleNormal="110" zoomScaleSheetLayoutView="120" zoomScalePageLayoutView="110" workbookViewId="0" topLeftCell="A1">
      <selection activeCell="C1" sqref="C1"/>
    </sheetView>
  </sheetViews>
  <sheetFormatPr defaultColWidth="9.140625" defaultRowHeight="15"/>
  <cols>
    <col min="1" max="1" width="19.28125" style="2" customWidth="1"/>
    <col min="2" max="2" width="23.57421875" style="2" customWidth="1"/>
    <col min="3" max="3" width="37.28125" style="2" customWidth="1"/>
    <col min="4" max="5" width="10.00390625" style="2" customWidth="1"/>
    <col min="6" max="6" width="14.7109375" style="2" customWidth="1"/>
    <col min="7" max="7" width="13.421875" style="2" customWidth="1"/>
    <col min="8" max="8" width="12.7109375" style="2" customWidth="1"/>
    <col min="9" max="9" width="8.57421875" style="2" customWidth="1"/>
    <col min="10" max="10" width="11.28125" style="2" hidden="1" customWidth="1"/>
    <col min="11" max="11" width="8.140625" style="2" hidden="1" customWidth="1"/>
    <col min="12" max="12" width="28.421875" style="2" hidden="1" customWidth="1"/>
    <col min="13" max="13" width="19.140625" style="8" hidden="1" customWidth="1"/>
    <col min="14" max="30" width="0" style="2" hidden="1" customWidth="1"/>
    <col min="31" max="16384" width="9.140625" style="2" customWidth="1"/>
  </cols>
  <sheetData>
    <row r="1" spans="1:25" ht="15" customHeight="1">
      <c r="A1" s="148" t="s">
        <v>8</v>
      </c>
      <c r="B1" s="148"/>
      <c r="C1" s="71"/>
      <c r="D1" s="64"/>
      <c r="E1" s="65"/>
      <c r="K1" s="3">
        <v>1</v>
      </c>
      <c r="L1" s="3" t="s">
        <v>13</v>
      </c>
      <c r="M1" s="10"/>
      <c r="N1" s="12">
        <v>34516</v>
      </c>
      <c r="O1" s="12">
        <v>35186</v>
      </c>
      <c r="P1" s="12">
        <v>37987</v>
      </c>
      <c r="Q1" s="12">
        <v>38808</v>
      </c>
      <c r="R1" s="12">
        <v>38961</v>
      </c>
      <c r="S1" s="12">
        <v>39995</v>
      </c>
      <c r="T1" s="12">
        <v>42064</v>
      </c>
      <c r="U1" s="12">
        <v>42979</v>
      </c>
      <c r="V1" s="3"/>
      <c r="W1" s="3"/>
      <c r="X1" s="3"/>
      <c r="Y1" s="3"/>
    </row>
    <row r="2" spans="1:25" ht="15" customHeight="1">
      <c r="A2" s="148" t="s">
        <v>52</v>
      </c>
      <c r="B2" s="148"/>
      <c r="C2" s="71"/>
      <c r="D2" s="64"/>
      <c r="E2" s="66"/>
      <c r="K2" s="3">
        <v>2</v>
      </c>
      <c r="L2" s="4" t="s">
        <v>5</v>
      </c>
      <c r="M2" s="9">
        <f aca="true" t="shared" si="0" ref="M2:M22">IF($C$13=L2,1,0)</f>
        <v>0</v>
      </c>
      <c r="N2" s="3" t="s">
        <v>5</v>
      </c>
      <c r="O2" s="3" t="s">
        <v>5</v>
      </c>
      <c r="P2" s="3" t="s">
        <v>5</v>
      </c>
      <c r="Q2" s="3" t="s">
        <v>5</v>
      </c>
      <c r="R2" s="3" t="s">
        <v>5</v>
      </c>
      <c r="S2" s="3" t="s">
        <v>5</v>
      </c>
      <c r="T2" s="3" t="s">
        <v>5</v>
      </c>
      <c r="U2" s="3" t="s">
        <v>5</v>
      </c>
      <c r="V2" s="3"/>
      <c r="W2" s="3"/>
      <c r="X2" s="3"/>
      <c r="Y2" s="3"/>
    </row>
    <row r="3" spans="1:25" ht="15" customHeight="1">
      <c r="A3" s="148" t="s">
        <v>1</v>
      </c>
      <c r="B3" s="148"/>
      <c r="C3" s="72"/>
      <c r="D3" s="64"/>
      <c r="E3" s="3"/>
      <c r="G3" s="85"/>
      <c r="H3" s="1"/>
      <c r="I3" s="1"/>
      <c r="K3" s="3">
        <v>3</v>
      </c>
      <c r="L3" s="4" t="s">
        <v>0</v>
      </c>
      <c r="M3" s="9">
        <f t="shared" si="0"/>
        <v>0</v>
      </c>
      <c r="N3" s="3" t="s">
        <v>0</v>
      </c>
      <c r="O3" s="3" t="s">
        <v>0</v>
      </c>
      <c r="P3" s="3" t="s">
        <v>0</v>
      </c>
      <c r="Q3" s="3" t="s">
        <v>0</v>
      </c>
      <c r="R3" s="3" t="s">
        <v>0</v>
      </c>
      <c r="S3" s="3" t="s">
        <v>0</v>
      </c>
      <c r="T3" s="3" t="s">
        <v>0</v>
      </c>
      <c r="U3" s="3" t="s">
        <v>0</v>
      </c>
      <c r="V3" s="3"/>
      <c r="W3" s="3"/>
      <c r="X3" s="3"/>
      <c r="Y3" s="3"/>
    </row>
    <row r="4" spans="1:25" ht="15" customHeight="1">
      <c r="A4" s="148" t="s">
        <v>48</v>
      </c>
      <c r="B4" s="148"/>
      <c r="C4" s="73" t="s">
        <v>13</v>
      </c>
      <c r="D4" s="82" t="s">
        <v>72</v>
      </c>
      <c r="E4" s="3"/>
      <c r="F4" s="27"/>
      <c r="G4" s="27"/>
      <c r="H4" s="1"/>
      <c r="I4" s="1"/>
      <c r="K4" s="3">
        <v>4</v>
      </c>
      <c r="L4" s="4" t="s">
        <v>2</v>
      </c>
      <c r="M4" s="9">
        <f t="shared" si="0"/>
        <v>0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/>
      <c r="W4" s="3"/>
      <c r="X4" s="3"/>
      <c r="Y4" s="3"/>
    </row>
    <row r="5" spans="1:25" ht="15" customHeight="1">
      <c r="A5" s="149" t="s">
        <v>53</v>
      </c>
      <c r="B5" s="149"/>
      <c r="C5" s="74"/>
      <c r="D5" s="82" t="s">
        <v>72</v>
      </c>
      <c r="E5" s="3"/>
      <c r="F5" s="33"/>
      <c r="H5" s="25"/>
      <c r="I5" s="25"/>
      <c r="J5" s="25"/>
      <c r="K5" s="3">
        <v>5</v>
      </c>
      <c r="L5" s="4" t="s">
        <v>7</v>
      </c>
      <c r="M5" s="9">
        <f t="shared" si="0"/>
        <v>0</v>
      </c>
      <c r="N5" s="3" t="s">
        <v>0</v>
      </c>
      <c r="O5" s="3" t="s">
        <v>7</v>
      </c>
      <c r="P5" s="3" t="s">
        <v>7</v>
      </c>
      <c r="Q5" s="3" t="s">
        <v>7</v>
      </c>
      <c r="R5" s="3" t="s">
        <v>7</v>
      </c>
      <c r="S5" s="3" t="s">
        <v>7</v>
      </c>
      <c r="T5" s="3" t="s">
        <v>7</v>
      </c>
      <c r="U5" s="3" t="s">
        <v>7</v>
      </c>
      <c r="V5" s="3"/>
      <c r="W5" s="3"/>
      <c r="X5" s="3"/>
      <c r="Y5" s="3"/>
    </row>
    <row r="6" spans="1:25" ht="15" customHeight="1">
      <c r="A6" s="149" t="s">
        <v>14</v>
      </c>
      <c r="B6" s="149"/>
      <c r="C6" s="75"/>
      <c r="D6" s="82" t="s">
        <v>72</v>
      </c>
      <c r="E6" s="3"/>
      <c r="J6" s="25"/>
      <c r="K6" s="3">
        <v>6</v>
      </c>
      <c r="L6" s="4"/>
      <c r="M6" s="9">
        <f t="shared" si="0"/>
        <v>0</v>
      </c>
      <c r="N6" s="3" t="s">
        <v>4</v>
      </c>
      <c r="O6" s="3" t="s">
        <v>4</v>
      </c>
      <c r="P6" s="3" t="s">
        <v>4</v>
      </c>
      <c r="Q6" s="3" t="s">
        <v>4</v>
      </c>
      <c r="R6" s="3" t="s">
        <v>4</v>
      </c>
      <c r="S6" s="3" t="s">
        <v>4</v>
      </c>
      <c r="T6" s="3" t="s">
        <v>4</v>
      </c>
      <c r="U6" s="3" t="s">
        <v>4</v>
      </c>
      <c r="V6" s="3"/>
      <c r="W6" s="3"/>
      <c r="X6" s="3"/>
      <c r="Y6" s="3"/>
    </row>
    <row r="7" spans="1:25" ht="15" customHeight="1">
      <c r="A7" s="149" t="s">
        <v>15</v>
      </c>
      <c r="B7" s="149"/>
      <c r="C7" s="75"/>
      <c r="D7" s="82" t="s">
        <v>72</v>
      </c>
      <c r="E7" s="3"/>
      <c r="G7" s="26"/>
      <c r="H7" s="25"/>
      <c r="I7" s="25"/>
      <c r="J7" s="25"/>
      <c r="K7" s="3">
        <v>7</v>
      </c>
      <c r="L7" s="4" t="s">
        <v>34</v>
      </c>
      <c r="M7" s="9">
        <f t="shared" si="0"/>
        <v>0</v>
      </c>
      <c r="N7" s="3" t="s">
        <v>0</v>
      </c>
      <c r="O7" s="3" t="s">
        <v>7</v>
      </c>
      <c r="P7" s="3" t="s">
        <v>7</v>
      </c>
      <c r="Q7" s="3" t="s">
        <v>7</v>
      </c>
      <c r="R7" s="3" t="s">
        <v>7</v>
      </c>
      <c r="S7" s="3" t="s">
        <v>2</v>
      </c>
      <c r="T7" s="3" t="s">
        <v>2</v>
      </c>
      <c r="U7" s="3" t="s">
        <v>2</v>
      </c>
      <c r="V7" s="3"/>
      <c r="W7" s="3"/>
      <c r="X7" s="3"/>
      <c r="Y7" s="3"/>
    </row>
    <row r="8" spans="1:25" ht="15" customHeight="1">
      <c r="A8" s="149" t="s">
        <v>54</v>
      </c>
      <c r="B8" s="149"/>
      <c r="C8" s="45">
        <f>SUM(C6:C7)</f>
        <v>0</v>
      </c>
      <c r="D8" s="67"/>
      <c r="E8" s="3"/>
      <c r="F8" s="3"/>
      <c r="G8" s="26"/>
      <c r="H8" s="25"/>
      <c r="I8" s="25"/>
      <c r="J8" s="25"/>
      <c r="K8" s="3">
        <v>8</v>
      </c>
      <c r="L8" s="4" t="s">
        <v>25</v>
      </c>
      <c r="M8" s="9">
        <f t="shared" si="0"/>
        <v>0</v>
      </c>
      <c r="N8" s="3" t="s">
        <v>0</v>
      </c>
      <c r="O8" s="3" t="s">
        <v>7</v>
      </c>
      <c r="P8" s="3" t="s">
        <v>7</v>
      </c>
      <c r="Q8" s="3" t="s">
        <v>7</v>
      </c>
      <c r="R8" s="3" t="s">
        <v>7</v>
      </c>
      <c r="S8" s="3" t="s">
        <v>2</v>
      </c>
      <c r="T8" s="3" t="s">
        <v>5</v>
      </c>
      <c r="U8" s="3" t="s">
        <v>5</v>
      </c>
      <c r="V8" s="3"/>
      <c r="W8" s="3"/>
      <c r="X8" s="3"/>
      <c r="Y8" s="3"/>
    </row>
    <row r="9" spans="1:31" ht="15" customHeight="1">
      <c r="A9" s="154" t="s">
        <v>55</v>
      </c>
      <c r="B9" s="91" t="s">
        <v>14</v>
      </c>
      <c r="C9" s="75"/>
      <c r="D9" s="155"/>
      <c r="E9" s="156"/>
      <c r="F9" s="156"/>
      <c r="G9" s="80"/>
      <c r="H9" s="80"/>
      <c r="I9" s="80"/>
      <c r="J9" s="80"/>
      <c r="K9" s="3">
        <v>9</v>
      </c>
      <c r="L9" s="4" t="s">
        <v>69</v>
      </c>
      <c r="M9" s="9">
        <f t="shared" si="0"/>
        <v>0</v>
      </c>
      <c r="N9" s="3" t="s">
        <v>0</v>
      </c>
      <c r="O9" s="3" t="s">
        <v>7</v>
      </c>
      <c r="P9" s="3" t="s">
        <v>7</v>
      </c>
      <c r="Q9" s="3" t="s">
        <v>7</v>
      </c>
      <c r="R9" s="3" t="s">
        <v>7</v>
      </c>
      <c r="S9" s="3" t="s">
        <v>2</v>
      </c>
      <c r="T9" s="3" t="s">
        <v>2</v>
      </c>
      <c r="U9" s="3" t="s">
        <v>5</v>
      </c>
      <c r="V9" s="80"/>
      <c r="W9" s="80"/>
      <c r="X9" s="80"/>
      <c r="Y9" s="80"/>
      <c r="Z9" s="80"/>
      <c r="AA9" s="80"/>
      <c r="AB9" s="80"/>
      <c r="AC9" s="80"/>
      <c r="AD9" s="80"/>
      <c r="AE9" s="80"/>
    </row>
    <row r="10" spans="1:31" ht="15" customHeight="1">
      <c r="A10" s="154"/>
      <c r="B10" s="90" t="s">
        <v>15</v>
      </c>
      <c r="C10" s="75"/>
      <c r="D10" s="155"/>
      <c r="E10" s="156"/>
      <c r="F10" s="156"/>
      <c r="G10" s="80"/>
      <c r="H10" s="80"/>
      <c r="I10" s="80"/>
      <c r="J10" s="80"/>
      <c r="K10" s="3">
        <v>10</v>
      </c>
      <c r="L10" s="4" t="s">
        <v>70</v>
      </c>
      <c r="M10" s="9">
        <f t="shared" si="0"/>
        <v>0</v>
      </c>
      <c r="N10" s="3" t="s">
        <v>0</v>
      </c>
      <c r="O10" s="3" t="s">
        <v>7</v>
      </c>
      <c r="P10" s="3" t="s">
        <v>7</v>
      </c>
      <c r="Q10" s="3" t="s">
        <v>7</v>
      </c>
      <c r="R10" s="3" t="s">
        <v>7</v>
      </c>
      <c r="S10" s="3" t="s">
        <v>5</v>
      </c>
      <c r="T10" s="3" t="s">
        <v>5</v>
      </c>
      <c r="U10" s="3" t="s">
        <v>5</v>
      </c>
      <c r="V10" s="80"/>
      <c r="W10" s="80"/>
      <c r="X10" s="80"/>
      <c r="Y10" s="80"/>
      <c r="Z10" s="80"/>
      <c r="AA10" s="80"/>
      <c r="AB10" s="80"/>
      <c r="AC10" s="80"/>
      <c r="AD10" s="80"/>
      <c r="AE10" s="80"/>
    </row>
    <row r="11" spans="1:31" ht="15" customHeight="1">
      <c r="A11" s="154"/>
      <c r="B11" s="92" t="s">
        <v>54</v>
      </c>
      <c r="C11" s="45">
        <f>SUM(C9:C10)</f>
        <v>0</v>
      </c>
      <c r="D11" s="155"/>
      <c r="E11" s="156"/>
      <c r="F11" s="156"/>
      <c r="G11" s="80"/>
      <c r="H11" s="80"/>
      <c r="I11" s="80"/>
      <c r="J11" s="80"/>
      <c r="K11" s="3">
        <v>11</v>
      </c>
      <c r="L11" s="4" t="s">
        <v>71</v>
      </c>
      <c r="M11" s="9">
        <f t="shared" si="0"/>
        <v>0</v>
      </c>
      <c r="N11" s="3" t="s">
        <v>0</v>
      </c>
      <c r="O11" s="3" t="s">
        <v>7</v>
      </c>
      <c r="P11" s="3" t="s">
        <v>0</v>
      </c>
      <c r="Q11" s="3" t="s">
        <v>0</v>
      </c>
      <c r="R11" s="3" t="s">
        <v>0</v>
      </c>
      <c r="S11" s="3" t="s">
        <v>0</v>
      </c>
      <c r="T11" s="3" t="s">
        <v>0</v>
      </c>
      <c r="U11" s="3" t="s">
        <v>0</v>
      </c>
      <c r="V11" s="80"/>
      <c r="W11" s="80"/>
      <c r="X11" s="80"/>
      <c r="Y11" s="80"/>
      <c r="Z11" s="80"/>
      <c r="AA11" s="80"/>
      <c r="AB11" s="80"/>
      <c r="AC11" s="80"/>
      <c r="AD11" s="80"/>
      <c r="AE11" s="80"/>
    </row>
    <row r="12" spans="1:25" ht="15" customHeight="1">
      <c r="A12" s="149" t="s">
        <v>9</v>
      </c>
      <c r="B12" s="149"/>
      <c r="C12" s="74"/>
      <c r="D12" s="82" t="s">
        <v>72</v>
      </c>
      <c r="E12" s="29"/>
      <c r="G12" s="29"/>
      <c r="H12" s="28"/>
      <c r="I12" s="28"/>
      <c r="J12" s="84">
        <v>43070</v>
      </c>
      <c r="K12" s="3">
        <v>12</v>
      </c>
      <c r="L12" s="4" t="s">
        <v>30</v>
      </c>
      <c r="M12" s="9">
        <f t="shared" si="0"/>
        <v>0</v>
      </c>
      <c r="N12" s="3" t="s">
        <v>0</v>
      </c>
      <c r="O12" s="3" t="s">
        <v>7</v>
      </c>
      <c r="P12" s="3" t="s">
        <v>7</v>
      </c>
      <c r="Q12" s="3" t="s">
        <v>0</v>
      </c>
      <c r="R12" s="3" t="s">
        <v>0</v>
      </c>
      <c r="S12" s="3" t="s">
        <v>0</v>
      </c>
      <c r="T12" s="3" t="s">
        <v>0</v>
      </c>
      <c r="U12" s="3" t="s">
        <v>0</v>
      </c>
      <c r="V12" s="3"/>
      <c r="W12" s="3"/>
      <c r="X12" s="3"/>
      <c r="Y12" s="3"/>
    </row>
    <row r="13" spans="1:25" ht="15" customHeight="1">
      <c r="A13" s="149" t="s">
        <v>76</v>
      </c>
      <c r="B13" s="149"/>
      <c r="C13" s="76" t="s">
        <v>13</v>
      </c>
      <c r="D13" s="82" t="s">
        <v>72</v>
      </c>
      <c r="E13" s="29"/>
      <c r="F13" s="29"/>
      <c r="G13" s="29"/>
      <c r="H13" s="28"/>
      <c r="I13" s="28"/>
      <c r="J13" s="28"/>
      <c r="K13" s="3">
        <v>13</v>
      </c>
      <c r="L13" s="4" t="s">
        <v>31</v>
      </c>
      <c r="M13" s="9">
        <f t="shared" si="0"/>
        <v>0</v>
      </c>
      <c r="N13" s="3" t="s">
        <v>0</v>
      </c>
      <c r="O13" s="3" t="s">
        <v>7</v>
      </c>
      <c r="P13" s="3" t="s">
        <v>7</v>
      </c>
      <c r="Q13" s="3" t="s">
        <v>7</v>
      </c>
      <c r="R13" s="3" t="s">
        <v>0</v>
      </c>
      <c r="S13" s="3" t="s">
        <v>0</v>
      </c>
      <c r="T13" s="3" t="s">
        <v>0</v>
      </c>
      <c r="U13" s="3" t="s">
        <v>0</v>
      </c>
      <c r="V13" s="3"/>
      <c r="W13" s="3"/>
      <c r="X13" s="3"/>
      <c r="Y13" s="3"/>
    </row>
    <row r="14" spans="1:25" ht="15" customHeight="1">
      <c r="A14" s="151" t="s">
        <v>79</v>
      </c>
      <c r="B14" s="152"/>
      <c r="C14" s="76" t="s">
        <v>13</v>
      </c>
      <c r="D14" s="82"/>
      <c r="E14" s="29"/>
      <c r="G14" s="29"/>
      <c r="H14" s="25"/>
      <c r="I14" s="25"/>
      <c r="K14" s="3">
        <v>14</v>
      </c>
      <c r="L14" s="4" t="s">
        <v>35</v>
      </c>
      <c r="M14" s="9">
        <f t="shared" si="0"/>
        <v>0</v>
      </c>
      <c r="N14" s="3" t="s">
        <v>0</v>
      </c>
      <c r="O14" s="3" t="s">
        <v>0</v>
      </c>
      <c r="P14" s="3" t="s">
        <v>0</v>
      </c>
      <c r="Q14" s="3" t="s">
        <v>0</v>
      </c>
      <c r="R14" s="3" t="s">
        <v>0</v>
      </c>
      <c r="S14" s="3" t="s">
        <v>2</v>
      </c>
      <c r="T14" s="3" t="s">
        <v>2</v>
      </c>
      <c r="U14" s="3" t="s">
        <v>2</v>
      </c>
      <c r="V14" s="3"/>
      <c r="W14" s="3"/>
      <c r="X14" s="3"/>
      <c r="Y14" s="3"/>
    </row>
    <row r="15" spans="1:25" ht="15" customHeight="1">
      <c r="A15" s="148" t="s">
        <v>56</v>
      </c>
      <c r="B15" s="148"/>
      <c r="C15" s="77" t="s">
        <v>13</v>
      </c>
      <c r="D15" s="82" t="s">
        <v>72</v>
      </c>
      <c r="E15" s="29"/>
      <c r="I15" s="25"/>
      <c r="K15" s="3">
        <v>15</v>
      </c>
      <c r="L15" s="4" t="s">
        <v>32</v>
      </c>
      <c r="M15" s="9">
        <f t="shared" si="0"/>
        <v>0</v>
      </c>
      <c r="N15" s="3" t="s">
        <v>0</v>
      </c>
      <c r="O15" s="3" t="s">
        <v>0</v>
      </c>
      <c r="P15" s="3" t="s">
        <v>0</v>
      </c>
      <c r="Q15" s="3" t="s">
        <v>0</v>
      </c>
      <c r="R15" s="3" t="s">
        <v>0</v>
      </c>
      <c r="S15" s="3" t="s">
        <v>2</v>
      </c>
      <c r="T15" s="3" t="s">
        <v>0</v>
      </c>
      <c r="U15" s="3" t="s">
        <v>0</v>
      </c>
      <c r="V15" s="3"/>
      <c r="W15" s="3"/>
      <c r="X15" s="3"/>
      <c r="Y15" s="3"/>
    </row>
    <row r="16" spans="1:25" ht="15" customHeight="1">
      <c r="A16" s="150" t="s">
        <v>16</v>
      </c>
      <c r="B16" s="150"/>
      <c r="C16" s="74"/>
      <c r="D16" s="82" t="s">
        <v>72</v>
      </c>
      <c r="E16" s="30"/>
      <c r="I16" s="25"/>
      <c r="K16" s="3">
        <v>16</v>
      </c>
      <c r="L16" s="38" t="s">
        <v>33</v>
      </c>
      <c r="M16" s="9">
        <f t="shared" si="0"/>
        <v>0</v>
      </c>
      <c r="N16" s="3" t="s">
        <v>0</v>
      </c>
      <c r="O16" s="3" t="s">
        <v>0</v>
      </c>
      <c r="P16" s="3" t="s">
        <v>0</v>
      </c>
      <c r="Q16" s="3" t="s">
        <v>0</v>
      </c>
      <c r="R16" s="3" t="s">
        <v>0</v>
      </c>
      <c r="S16" s="3" t="s">
        <v>2</v>
      </c>
      <c r="T16" s="3" t="s">
        <v>2</v>
      </c>
      <c r="U16" s="3" t="s">
        <v>0</v>
      </c>
      <c r="V16" s="3"/>
      <c r="W16" s="3"/>
      <c r="X16" s="3"/>
      <c r="Y16" s="3"/>
    </row>
    <row r="17" spans="1:30" ht="15" customHeight="1">
      <c r="A17" s="149" t="s">
        <v>50</v>
      </c>
      <c r="B17" s="149"/>
      <c r="C17" s="78"/>
      <c r="D17" s="64"/>
      <c r="E17" s="30"/>
      <c r="I17" s="25"/>
      <c r="K17" s="3">
        <v>17</v>
      </c>
      <c r="L17" s="38" t="s">
        <v>26</v>
      </c>
      <c r="M17" s="9">
        <f t="shared" si="0"/>
        <v>0</v>
      </c>
      <c r="N17" s="3" t="s">
        <v>0</v>
      </c>
      <c r="O17" s="3" t="s">
        <v>0</v>
      </c>
      <c r="P17" s="3" t="s">
        <v>0</v>
      </c>
      <c r="Q17" s="3" t="s">
        <v>0</v>
      </c>
      <c r="R17" s="3" t="s">
        <v>0</v>
      </c>
      <c r="S17" s="3" t="s">
        <v>2</v>
      </c>
      <c r="T17" s="3" t="s">
        <v>5</v>
      </c>
      <c r="U17" s="3" t="s">
        <v>5</v>
      </c>
      <c r="V17" s="3"/>
      <c r="W17" s="3"/>
      <c r="X17" s="3"/>
      <c r="Y17" s="3"/>
      <c r="AB17" s="39" t="s">
        <v>39</v>
      </c>
      <c r="AC17" s="40"/>
      <c r="AD17" s="40"/>
    </row>
    <row r="18" spans="1:28" ht="15" customHeight="1">
      <c r="A18" s="149" t="s">
        <v>51</v>
      </c>
      <c r="B18" s="149"/>
      <c r="C18" s="78"/>
      <c r="D18" s="64"/>
      <c r="E18" s="31"/>
      <c r="K18" s="3">
        <v>18</v>
      </c>
      <c r="L18" s="38" t="s">
        <v>27</v>
      </c>
      <c r="M18" s="9">
        <f t="shared" si="0"/>
        <v>0</v>
      </c>
      <c r="N18" s="3" t="s">
        <v>0</v>
      </c>
      <c r="O18" s="3" t="s">
        <v>0</v>
      </c>
      <c r="P18" s="3" t="s">
        <v>0</v>
      </c>
      <c r="Q18" s="3" t="s">
        <v>0</v>
      </c>
      <c r="R18" s="3" t="s">
        <v>0</v>
      </c>
      <c r="S18" s="3" t="s">
        <v>2</v>
      </c>
      <c r="T18" s="3" t="s">
        <v>2</v>
      </c>
      <c r="U18" s="3" t="s">
        <v>5</v>
      </c>
      <c r="V18" s="3"/>
      <c r="W18" s="3"/>
      <c r="X18" s="3"/>
      <c r="Y18" s="3"/>
      <c r="AB18" s="2" t="s">
        <v>40</v>
      </c>
    </row>
    <row r="19" spans="1:25" ht="15" customHeight="1">
      <c r="A19" s="149" t="s">
        <v>57</v>
      </c>
      <c r="B19" s="149"/>
      <c r="C19" s="78"/>
      <c r="D19" s="64"/>
      <c r="E19" s="31"/>
      <c r="K19" s="3">
        <v>19</v>
      </c>
      <c r="L19" s="38" t="s">
        <v>36</v>
      </c>
      <c r="M19" s="9">
        <f t="shared" si="0"/>
        <v>0</v>
      </c>
      <c r="N19" s="3" t="s">
        <v>0</v>
      </c>
      <c r="O19" s="3" t="s">
        <v>0</v>
      </c>
      <c r="P19" s="3" t="s">
        <v>0</v>
      </c>
      <c r="Q19" s="3" t="s">
        <v>0</v>
      </c>
      <c r="R19" s="3" t="s">
        <v>0</v>
      </c>
      <c r="S19" s="3" t="s">
        <v>5</v>
      </c>
      <c r="T19" s="3" t="s">
        <v>5</v>
      </c>
      <c r="U19" s="3" t="s">
        <v>5</v>
      </c>
      <c r="V19" s="3"/>
      <c r="W19" s="3"/>
      <c r="X19" s="3"/>
      <c r="Y19" s="3"/>
    </row>
    <row r="20" spans="1:25" ht="15" customHeight="1">
      <c r="A20" s="149" t="s">
        <v>17</v>
      </c>
      <c r="B20" s="149"/>
      <c r="C20" s="79"/>
      <c r="D20" s="64"/>
      <c r="E20" s="31"/>
      <c r="K20" s="3">
        <v>20</v>
      </c>
      <c r="L20" s="38" t="s">
        <v>37</v>
      </c>
      <c r="M20" s="9">
        <f t="shared" si="0"/>
        <v>0</v>
      </c>
      <c r="N20" s="3" t="s">
        <v>5</v>
      </c>
      <c r="O20" s="3" t="s">
        <v>5</v>
      </c>
      <c r="P20" s="3" t="s">
        <v>5</v>
      </c>
      <c r="Q20" s="3" t="s">
        <v>5</v>
      </c>
      <c r="R20" s="3" t="s">
        <v>5</v>
      </c>
      <c r="S20" s="3" t="s">
        <v>2</v>
      </c>
      <c r="T20" s="3" t="s">
        <v>2</v>
      </c>
      <c r="U20" s="3" t="s">
        <v>2</v>
      </c>
      <c r="V20" s="3"/>
      <c r="W20" s="3"/>
      <c r="X20" s="3"/>
      <c r="Y20" s="3"/>
    </row>
    <row r="21" spans="1:25" ht="15" customHeight="1">
      <c r="A21" s="149" t="s">
        <v>18</v>
      </c>
      <c r="B21" s="149"/>
      <c r="C21" s="79"/>
      <c r="D21" s="64"/>
      <c r="E21" s="3"/>
      <c r="K21" s="3">
        <v>21</v>
      </c>
      <c r="L21" s="38" t="s">
        <v>28</v>
      </c>
      <c r="M21" s="9">
        <f t="shared" si="0"/>
        <v>0</v>
      </c>
      <c r="N21" s="3" t="s">
        <v>5</v>
      </c>
      <c r="O21" s="3" t="s">
        <v>5</v>
      </c>
      <c r="P21" s="3" t="s">
        <v>5</v>
      </c>
      <c r="Q21" s="3" t="s">
        <v>5</v>
      </c>
      <c r="R21" s="3" t="s">
        <v>5</v>
      </c>
      <c r="S21" s="3" t="s">
        <v>2</v>
      </c>
      <c r="T21" s="3" t="s">
        <v>5</v>
      </c>
      <c r="U21" s="3" t="s">
        <v>5</v>
      </c>
      <c r="V21" s="3"/>
      <c r="W21" s="3"/>
      <c r="X21" s="3"/>
      <c r="Y21" s="3"/>
    </row>
    <row r="22" spans="1:25" ht="15.75" thickBot="1">
      <c r="A22" s="3"/>
      <c r="B22" s="83" t="s">
        <v>72</v>
      </c>
      <c r="C22" s="25" t="s">
        <v>73</v>
      </c>
      <c r="D22" s="25"/>
      <c r="E22" s="25"/>
      <c r="K22" s="3">
        <v>22</v>
      </c>
      <c r="L22" s="38" t="s">
        <v>29</v>
      </c>
      <c r="M22" s="9">
        <f t="shared" si="0"/>
        <v>0</v>
      </c>
      <c r="N22" s="41" t="s">
        <v>5</v>
      </c>
      <c r="O22" s="41" t="s">
        <v>5</v>
      </c>
      <c r="P22" s="41" t="s">
        <v>5</v>
      </c>
      <c r="Q22" s="41" t="s">
        <v>5</v>
      </c>
      <c r="R22" s="41" t="s">
        <v>5</v>
      </c>
      <c r="S22" s="41" t="s">
        <v>2</v>
      </c>
      <c r="T22" s="41" t="s">
        <v>2</v>
      </c>
      <c r="U22" s="41" t="s">
        <v>5</v>
      </c>
      <c r="V22" s="3"/>
      <c r="W22" s="3"/>
      <c r="X22" s="3"/>
      <c r="Y22" s="3"/>
    </row>
    <row r="23" spans="1:25" ht="16.5" thickBot="1" thickTop="1">
      <c r="A23" s="94" t="s">
        <v>19</v>
      </c>
      <c r="B23" s="11"/>
      <c r="C23" s="11"/>
      <c r="D23" s="70"/>
      <c r="E23" s="3"/>
      <c r="F23" s="34"/>
      <c r="G23" s="34"/>
      <c r="K23" s="13">
        <v>23</v>
      </c>
      <c r="L23" s="38"/>
      <c r="M23" s="42">
        <v>1</v>
      </c>
      <c r="N23" s="13" t="e">
        <f>VLOOKUP($M$23,$M$2:$Y$22,2,0)</f>
        <v>#N/A</v>
      </c>
      <c r="O23" s="13" t="e">
        <f>VLOOKUP($M$23,$M$2:$Y$22,3,0)</f>
        <v>#N/A</v>
      </c>
      <c r="P23" s="13" t="e">
        <f>VLOOKUP($M$23,$M$2:$Y$22,4,0)</f>
        <v>#N/A</v>
      </c>
      <c r="Q23" s="13" t="e">
        <f>VLOOKUP($M$23,$M$2:$Y$22,5,0)</f>
        <v>#N/A</v>
      </c>
      <c r="R23" s="13" t="e">
        <f>VLOOKUP($M$23,$M$2:$Y$22,6,0)</f>
        <v>#N/A</v>
      </c>
      <c r="S23" s="13" t="e">
        <f>VLOOKUP($M$23,$M$2:$Y$22,7,0)</f>
        <v>#N/A</v>
      </c>
      <c r="T23" s="13" t="e">
        <f>VLOOKUP($M$23,$M$2:$Y$22,8,0)</f>
        <v>#N/A</v>
      </c>
      <c r="U23" s="81" t="e">
        <f>VLOOKUP($M$23,$M$2:$Y$22,9,0)</f>
        <v>#N/A</v>
      </c>
      <c r="V23" s="43"/>
      <c r="W23" s="43"/>
      <c r="X23" s="43"/>
      <c r="Y23" s="43"/>
    </row>
    <row r="24" spans="1:25" ht="15.75" thickTop="1">
      <c r="A24" s="162"/>
      <c r="B24" s="163"/>
      <c r="C24" s="164"/>
      <c r="D24" s="68"/>
      <c r="E24" s="68"/>
      <c r="F24" s="34"/>
      <c r="G24" s="34"/>
      <c r="K24" s="3">
        <v>24</v>
      </c>
      <c r="L24" s="13"/>
      <c r="M24" s="14"/>
      <c r="N24" s="21"/>
      <c r="O24" s="21"/>
      <c r="P24" s="21"/>
      <c r="Q24" s="21"/>
      <c r="R24" s="21"/>
      <c r="S24" s="21"/>
      <c r="T24" s="21"/>
      <c r="U24" s="21"/>
      <c r="V24" s="44"/>
      <c r="W24" s="44"/>
      <c r="X24" s="44"/>
      <c r="Y24" s="44"/>
    </row>
    <row r="25" spans="1:26" ht="15">
      <c r="A25" s="165"/>
      <c r="B25" s="166"/>
      <c r="C25" s="167"/>
      <c r="D25" s="68"/>
      <c r="E25" s="68"/>
      <c r="F25" s="34"/>
      <c r="G25" s="34"/>
      <c r="K25" s="13">
        <v>25</v>
      </c>
      <c r="L25" s="6"/>
      <c r="M25" s="9"/>
      <c r="N25" s="15"/>
      <c r="O25" s="15"/>
      <c r="P25" s="15"/>
      <c r="Q25" s="15"/>
      <c r="R25" s="15"/>
      <c r="S25" s="15"/>
      <c r="T25" s="15"/>
      <c r="U25" s="15"/>
      <c r="V25" s="3"/>
      <c r="W25" s="3"/>
      <c r="X25" s="3"/>
      <c r="Y25" s="3"/>
      <c r="Z25" s="6"/>
    </row>
    <row r="26" spans="1:25" ht="15">
      <c r="A26" s="168"/>
      <c r="B26" s="169"/>
      <c r="C26" s="170"/>
      <c r="D26" s="68"/>
      <c r="E26" s="68"/>
      <c r="K26" s="3">
        <v>26</v>
      </c>
      <c r="N26" s="3"/>
      <c r="O26" s="3"/>
      <c r="P26" s="3"/>
      <c r="Q26" s="3"/>
      <c r="R26" s="3"/>
      <c r="S26" s="3"/>
      <c r="T26" s="3"/>
      <c r="U26" s="3"/>
      <c r="V26" s="15"/>
      <c r="W26" s="15"/>
      <c r="X26" s="15"/>
      <c r="Y26" s="15"/>
    </row>
    <row r="27" spans="1:25" ht="15" hidden="1">
      <c r="A27" s="3"/>
      <c r="B27" s="3"/>
      <c r="C27" s="3"/>
      <c r="D27" s="3"/>
      <c r="E27" s="3"/>
      <c r="K27" s="13">
        <v>27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" hidden="1">
      <c r="A28" s="3"/>
      <c r="B28" s="3"/>
      <c r="C28" s="3"/>
      <c r="D28" s="3"/>
      <c r="E28" s="3"/>
      <c r="K28" s="3">
        <v>28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">
      <c r="A29" s="3"/>
      <c r="B29" s="3"/>
      <c r="C29" s="3"/>
      <c r="D29" s="3"/>
      <c r="E29" s="3"/>
      <c r="K29" s="13">
        <v>29</v>
      </c>
      <c r="L29" s="19" t="s">
        <v>13</v>
      </c>
      <c r="M29" s="18" t="s">
        <v>13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" customHeight="1">
      <c r="A30" s="3"/>
      <c r="B30" s="3"/>
      <c r="C30" s="3"/>
      <c r="D30" s="3"/>
      <c r="E30" s="3"/>
      <c r="F30" s="5"/>
      <c r="H30" s="5"/>
      <c r="K30" s="3">
        <v>30</v>
      </c>
      <c r="L30" s="19" t="s">
        <v>23</v>
      </c>
      <c r="M30" s="16" t="s">
        <v>11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" customHeight="1">
      <c r="A31" s="3"/>
      <c r="B31" s="3"/>
      <c r="C31" s="3"/>
      <c r="D31" s="69"/>
      <c r="E31" s="3"/>
      <c r="F31" s="37"/>
      <c r="G31" s="32"/>
      <c r="H31" s="37"/>
      <c r="K31" s="13">
        <v>31</v>
      </c>
      <c r="L31" s="19" t="s">
        <v>24</v>
      </c>
      <c r="M31" s="16" t="s">
        <v>12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" customHeight="1" hidden="1">
      <c r="A32" s="46" t="s">
        <v>41</v>
      </c>
      <c r="B32" s="159">
        <f>C1</f>
        <v>0</v>
      </c>
      <c r="C32" s="160"/>
      <c r="D32" s="160"/>
      <c r="E32" s="161"/>
      <c r="F32" s="36"/>
      <c r="G32" s="36"/>
      <c r="H32" s="36"/>
      <c r="I32" s="22"/>
      <c r="J32" s="3"/>
      <c r="K32" s="3">
        <v>32</v>
      </c>
      <c r="L32" s="20" t="s">
        <v>3</v>
      </c>
      <c r="M32" s="17">
        <v>0.005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6" s="6" customFormat="1" ht="15" customHeight="1" hidden="1">
      <c r="A33" s="47" t="s">
        <v>42</v>
      </c>
      <c r="B33" s="181">
        <f>C2</f>
        <v>0</v>
      </c>
      <c r="C33" s="182"/>
      <c r="D33" s="182"/>
      <c r="E33" s="183"/>
      <c r="F33" s="36"/>
      <c r="G33" s="36"/>
      <c r="H33" s="36"/>
      <c r="I33" s="23"/>
      <c r="J33" s="15"/>
      <c r="K33" s="13">
        <v>33</v>
      </c>
      <c r="L33" s="20" t="s">
        <v>22</v>
      </c>
      <c r="M33" s="17">
        <v>0.01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2"/>
    </row>
    <row r="34" spans="1:25" ht="15" customHeight="1" hidden="1" thickBot="1">
      <c r="A34" s="48" t="s">
        <v>43</v>
      </c>
      <c r="B34" s="173">
        <f>C3</f>
        <v>0</v>
      </c>
      <c r="C34" s="174"/>
      <c r="D34" s="174"/>
      <c r="E34" s="175"/>
      <c r="F34" s="36"/>
      <c r="G34" s="36"/>
      <c r="H34" s="36"/>
      <c r="I34" s="7"/>
      <c r="J34" s="3"/>
      <c r="K34" s="3">
        <v>34</v>
      </c>
      <c r="M34" s="1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24" customHeight="1" hidden="1" thickBot="1">
      <c r="A35" s="3"/>
      <c r="B35" s="3"/>
      <c r="C35" s="3"/>
      <c r="D35" s="3"/>
      <c r="E35" s="3"/>
      <c r="F35" s="36"/>
      <c r="G35" s="36"/>
      <c r="H35" s="36"/>
      <c r="I35" s="1"/>
      <c r="J35" s="1"/>
      <c r="K35" s="13">
        <v>35</v>
      </c>
      <c r="M35" s="1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24.75" customHeight="1" hidden="1">
      <c r="A36" s="196" t="s">
        <v>20</v>
      </c>
      <c r="B36" s="49"/>
      <c r="C36" s="157" t="s">
        <v>44</v>
      </c>
      <c r="D36" s="188" t="s">
        <v>59</v>
      </c>
      <c r="E36" s="189"/>
      <c r="F36" s="36"/>
      <c r="G36" s="36"/>
      <c r="H36" s="36"/>
      <c r="I36" s="1"/>
      <c r="J36" s="1"/>
      <c r="K36" s="3">
        <v>36</v>
      </c>
      <c r="L36" s="24">
        <f>IF(C17="",0,C17/(C6+C7))</f>
        <v>0</v>
      </c>
      <c r="M36" s="1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9.5" customHeight="1" hidden="1">
      <c r="A37" s="197"/>
      <c r="B37" s="50"/>
      <c r="C37" s="158"/>
      <c r="D37" s="171" t="s">
        <v>60</v>
      </c>
      <c r="E37" s="172"/>
      <c r="F37" s="36"/>
      <c r="G37" s="36"/>
      <c r="H37" s="36"/>
      <c r="I37" s="1"/>
      <c r="J37" s="1"/>
      <c r="K37" s="13">
        <v>37</v>
      </c>
      <c r="M37" s="1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" customHeight="1" hidden="1" thickBot="1">
      <c r="A38" s="51">
        <f>IF(C5="","",C5)</f>
      </c>
      <c r="B38" s="52"/>
      <c r="C38" s="53">
        <f>IF(C6="",0,C6)</f>
        <v>0</v>
      </c>
      <c r="D38" s="153">
        <f>IF(C9="",0,IF(C4&lt;&gt;"previdenciária",0,C9))</f>
        <v>0</v>
      </c>
      <c r="E38" s="147"/>
      <c r="F38" s="36"/>
      <c r="G38" s="36"/>
      <c r="H38" s="36"/>
      <c r="I38" s="1"/>
      <c r="J38" s="1"/>
      <c r="K38" s="3">
        <v>38</v>
      </c>
      <c r="L38" s="35" t="s">
        <v>3</v>
      </c>
      <c r="M38" s="1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" customHeight="1" hidden="1" thickBot="1">
      <c r="A39" s="54"/>
      <c r="B39" s="54"/>
      <c r="C39" s="54"/>
      <c r="D39" s="54"/>
      <c r="E39" s="54"/>
      <c r="F39" s="36"/>
      <c r="G39" s="36"/>
      <c r="H39" s="36"/>
      <c r="I39" s="1"/>
      <c r="J39" s="1"/>
      <c r="K39" s="13">
        <v>39</v>
      </c>
      <c r="L39" s="3"/>
      <c r="M39" s="1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24.75" customHeight="1" hidden="1">
      <c r="A40" s="176" t="s">
        <v>21</v>
      </c>
      <c r="B40" s="88" t="str">
        <f>"Correção monetária "&amp;"("&amp;$C$13&amp;")"</f>
        <v>Correção monetária (Selecionar)</v>
      </c>
      <c r="C40" s="178" t="s">
        <v>68</v>
      </c>
      <c r="D40" s="184" t="s">
        <v>61</v>
      </c>
      <c r="E40" s="185"/>
      <c r="F40" s="36"/>
      <c r="G40" s="36"/>
      <c r="H40" s="36"/>
      <c r="I40" s="3"/>
      <c r="J40" s="3"/>
      <c r="K40" s="3">
        <v>40</v>
      </c>
      <c r="L40" s="3"/>
      <c r="M40" s="1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6" ht="24.75" customHeight="1" hidden="1">
      <c r="A41" s="177"/>
      <c r="B41" s="89" t="s">
        <v>67</v>
      </c>
      <c r="C41" s="179"/>
      <c r="D41" s="186"/>
      <c r="E41" s="187"/>
      <c r="F41" s="36"/>
      <c r="G41" s="36"/>
      <c r="H41" s="36"/>
      <c r="I41" s="3"/>
      <c r="J41" s="3"/>
      <c r="K41" s="13">
        <v>41</v>
      </c>
      <c r="L41" s="3" t="s">
        <v>13</v>
      </c>
      <c r="M41" s="10"/>
      <c r="N41" s="12">
        <v>34516</v>
      </c>
      <c r="O41" s="12">
        <v>35186</v>
      </c>
      <c r="P41" s="12">
        <v>37987</v>
      </c>
      <c r="Q41" s="12">
        <v>38808</v>
      </c>
      <c r="R41" s="12">
        <v>38961</v>
      </c>
      <c r="S41" s="12">
        <v>39995</v>
      </c>
      <c r="T41" s="12">
        <v>42064</v>
      </c>
      <c r="U41" s="12">
        <v>42979</v>
      </c>
      <c r="V41" s="3"/>
      <c r="W41" s="3"/>
      <c r="X41" s="3"/>
      <c r="Y41" s="3"/>
      <c r="Z41" s="3"/>
    </row>
    <row r="42" spans="1:26" ht="42" customHeight="1" hidden="1">
      <c r="A42" s="193">
        <f>IF(C12="","",C12)</f>
      </c>
      <c r="B42" s="100">
        <f>IF(A38="","",VLOOKUP($A$38,Indices!A3:$E$500,4))</f>
      </c>
      <c r="C42" s="45">
        <f>IF(C38=0,0,C38*B42)</f>
        <v>0</v>
      </c>
      <c r="D42" s="190">
        <f>IF(B42="",0,D38*B42)</f>
        <v>0</v>
      </c>
      <c r="E42" s="191"/>
      <c r="F42" s="36"/>
      <c r="G42" s="36"/>
      <c r="H42" s="36"/>
      <c r="I42" s="3"/>
      <c r="J42" s="3"/>
      <c r="K42" s="3">
        <v>42</v>
      </c>
      <c r="L42" s="4" t="s">
        <v>5</v>
      </c>
      <c r="M42" s="9">
        <f aca="true" t="shared" si="1" ref="M42:M62">IF($C$14=L42,1,0)</f>
        <v>0</v>
      </c>
      <c r="N42" s="3" t="s">
        <v>5</v>
      </c>
      <c r="O42" s="3" t="s">
        <v>5</v>
      </c>
      <c r="P42" s="3" t="s">
        <v>5</v>
      </c>
      <c r="Q42" s="3" t="s">
        <v>5</v>
      </c>
      <c r="R42" s="3" t="s">
        <v>5</v>
      </c>
      <c r="S42" s="3" t="s">
        <v>5</v>
      </c>
      <c r="T42" s="3" t="s">
        <v>5</v>
      </c>
      <c r="U42" s="3" t="s">
        <v>5</v>
      </c>
      <c r="V42" s="3"/>
      <c r="W42" s="3"/>
      <c r="X42" s="3"/>
      <c r="Y42" s="3"/>
      <c r="Z42" s="3"/>
    </row>
    <row r="43" spans="1:26" ht="24.75" customHeight="1" hidden="1">
      <c r="A43" s="194"/>
      <c r="B43" s="55" t="s">
        <v>66</v>
      </c>
      <c r="C43" s="192" t="s">
        <v>65</v>
      </c>
      <c r="D43" s="210" t="str">
        <f>"Honorários de sucumbência "&amp;TEXT($C$17,"0%")&amp;" sobre os juros complementares"</f>
        <v>Honorários de sucumbência 0% sobre os juros complementares</v>
      </c>
      <c r="E43" s="211"/>
      <c r="F43" s="36"/>
      <c r="G43" s="36"/>
      <c r="H43" s="36"/>
      <c r="I43" s="3"/>
      <c r="J43" s="3"/>
      <c r="K43" s="13">
        <v>43</v>
      </c>
      <c r="L43" s="4" t="s">
        <v>0</v>
      </c>
      <c r="M43" s="9">
        <f t="shared" si="1"/>
        <v>0</v>
      </c>
      <c r="N43" s="3" t="s">
        <v>0</v>
      </c>
      <c r="O43" s="3" t="s">
        <v>0</v>
      </c>
      <c r="P43" s="3" t="s">
        <v>0</v>
      </c>
      <c r="Q43" s="3" t="s">
        <v>0</v>
      </c>
      <c r="R43" s="3" t="s">
        <v>0</v>
      </c>
      <c r="S43" s="3" t="s">
        <v>0</v>
      </c>
      <c r="T43" s="3" t="s">
        <v>0</v>
      </c>
      <c r="U43" s="3" t="s">
        <v>0</v>
      </c>
      <c r="V43" s="3"/>
      <c r="W43" s="3"/>
      <c r="X43" s="3"/>
      <c r="Y43" s="3"/>
      <c r="Z43" s="3"/>
    </row>
    <row r="44" spans="1:26" ht="24.75" customHeight="1" hidden="1">
      <c r="A44" s="194"/>
      <c r="B44" s="63" t="s">
        <v>67</v>
      </c>
      <c r="C44" s="192"/>
      <c r="D44" s="180" t="s">
        <v>58</v>
      </c>
      <c r="E44" s="172"/>
      <c r="F44" s="36"/>
      <c r="G44" s="36"/>
      <c r="H44" s="36"/>
      <c r="I44" s="3"/>
      <c r="J44" s="3"/>
      <c r="K44" s="3">
        <v>44</v>
      </c>
      <c r="L44" s="4" t="s">
        <v>2</v>
      </c>
      <c r="M44" s="9">
        <f t="shared" si="1"/>
        <v>0</v>
      </c>
      <c r="N44" s="3" t="s">
        <v>2</v>
      </c>
      <c r="O44" s="3" t="s">
        <v>2</v>
      </c>
      <c r="P44" s="3" t="s">
        <v>2</v>
      </c>
      <c r="Q44" s="3" t="s">
        <v>2</v>
      </c>
      <c r="R44" s="3" t="s">
        <v>2</v>
      </c>
      <c r="S44" s="3" t="s">
        <v>2</v>
      </c>
      <c r="T44" s="3" t="s">
        <v>2</v>
      </c>
      <c r="U44" s="3" t="s">
        <v>2</v>
      </c>
      <c r="V44" s="3"/>
      <c r="W44" s="3"/>
      <c r="X44" s="3"/>
      <c r="Y44" s="3"/>
      <c r="Z44" s="3"/>
    </row>
    <row r="45" spans="1:26" ht="15" customHeight="1" hidden="1" thickBot="1">
      <c r="A45" s="195"/>
      <c r="B45" s="62">
        <f>IF($C$15="",0,IF($C$5&gt;=$C$12,0,IF($L$38="Fixo",((MONTH($C$12)+12*(YEAR($C$12)-1)-(MONTH(MAX($C$5))+12*(YEAR(MAX($C$5))-1)))*$C$15),IF($C$15="0,5% - poupança",VLOOKUP((MAX(A38,$C$5)),Indices!$A$3:$T$320,16)-VLOOKUP($C$12,Indices!$A$3:$T$320,16),IF($C$15="1,0% - poupança",VLOOKUP((MAX(A38,$C$5)),Indices!$A$3:$T$320,18)-VLOOKUP($C$12,Indices!$A$3:$T$320,18),((MONTH($C$12)+12*(YEAR($C$12)-1)-(MONTH(MAX(A38,$C$5))+12*(YEAR(MAX(A38,$C$5))-1)))*$C$15))))))</f>
        <v>0</v>
      </c>
      <c r="C45" s="57">
        <f>C42*B45</f>
        <v>0</v>
      </c>
      <c r="D45" s="153">
        <f>(D42*B45)*C17</f>
        <v>0</v>
      </c>
      <c r="E45" s="147"/>
      <c r="F45" s="36"/>
      <c r="G45" s="36"/>
      <c r="H45" s="36"/>
      <c r="I45" s="3"/>
      <c r="J45" s="3"/>
      <c r="K45" s="13">
        <v>45</v>
      </c>
      <c r="L45" s="4" t="s">
        <v>7</v>
      </c>
      <c r="M45" s="9">
        <f t="shared" si="1"/>
        <v>0</v>
      </c>
      <c r="N45" s="3" t="s">
        <v>0</v>
      </c>
      <c r="O45" s="3" t="s">
        <v>7</v>
      </c>
      <c r="P45" s="3" t="s">
        <v>7</v>
      </c>
      <c r="Q45" s="3" t="s">
        <v>7</v>
      </c>
      <c r="R45" s="3" t="s">
        <v>7</v>
      </c>
      <c r="S45" s="3" t="s">
        <v>7</v>
      </c>
      <c r="T45" s="3" t="s">
        <v>7</v>
      </c>
      <c r="U45" s="3" t="s">
        <v>7</v>
      </c>
      <c r="V45" s="3"/>
      <c r="W45" s="3"/>
      <c r="X45" s="3"/>
      <c r="Y45" s="3"/>
      <c r="Z45" s="3"/>
    </row>
    <row r="46" spans="1:26" ht="15" customHeight="1" hidden="1" thickBot="1">
      <c r="A46" s="54"/>
      <c r="B46" s="54"/>
      <c r="C46" s="54"/>
      <c r="D46" s="54"/>
      <c r="E46" s="54"/>
      <c r="F46" s="36"/>
      <c r="G46" s="36"/>
      <c r="H46" s="36"/>
      <c r="I46" s="3"/>
      <c r="J46" s="3"/>
      <c r="K46" s="3">
        <v>46</v>
      </c>
      <c r="L46" s="4"/>
      <c r="M46" s="9">
        <f t="shared" si="1"/>
        <v>0</v>
      </c>
      <c r="N46" s="3" t="s">
        <v>4</v>
      </c>
      <c r="O46" s="3" t="s">
        <v>4</v>
      </c>
      <c r="P46" s="3" t="s">
        <v>4</v>
      </c>
      <c r="Q46" s="3" t="s">
        <v>4</v>
      </c>
      <c r="R46" s="3" t="s">
        <v>4</v>
      </c>
      <c r="S46" s="3" t="s">
        <v>4</v>
      </c>
      <c r="T46" s="3" t="s">
        <v>4</v>
      </c>
      <c r="U46" s="3" t="s">
        <v>4</v>
      </c>
      <c r="V46" s="3"/>
      <c r="W46" s="3"/>
      <c r="X46" s="3"/>
      <c r="Y46" s="3"/>
      <c r="Z46" s="3"/>
    </row>
    <row r="47" spans="1:26" ht="24.75" customHeight="1" hidden="1">
      <c r="A47" s="176" t="s">
        <v>64</v>
      </c>
      <c r="B47" s="88" t="str">
        <f>"Correção monetária "&amp;"("&amp;$C$14&amp;")"</f>
        <v>Correção monetária (Selecionar)</v>
      </c>
      <c r="C47" s="178" t="s">
        <v>63</v>
      </c>
      <c r="D47" s="184" t="s">
        <v>62</v>
      </c>
      <c r="E47" s="185"/>
      <c r="F47" s="36"/>
      <c r="G47" s="36"/>
      <c r="H47" s="36"/>
      <c r="I47" s="3"/>
      <c r="J47" s="3"/>
      <c r="K47" s="13">
        <v>47</v>
      </c>
      <c r="L47" s="4" t="s">
        <v>34</v>
      </c>
      <c r="M47" s="9">
        <f t="shared" si="1"/>
        <v>0</v>
      </c>
      <c r="N47" s="3" t="s">
        <v>0</v>
      </c>
      <c r="O47" s="3" t="s">
        <v>7</v>
      </c>
      <c r="P47" s="3" t="s">
        <v>7</v>
      </c>
      <c r="Q47" s="3" t="s">
        <v>7</v>
      </c>
      <c r="R47" s="3" t="s">
        <v>7</v>
      </c>
      <c r="S47" s="3" t="s">
        <v>2</v>
      </c>
      <c r="T47" s="3" t="s">
        <v>2</v>
      </c>
      <c r="U47" s="3" t="s">
        <v>2</v>
      </c>
      <c r="V47" s="3"/>
      <c r="W47" s="3"/>
      <c r="X47" s="3"/>
      <c r="Y47" s="3"/>
      <c r="Z47" s="3"/>
    </row>
    <row r="48" spans="1:26" ht="24.75" customHeight="1" hidden="1">
      <c r="A48" s="177"/>
      <c r="B48" s="63" t="s">
        <v>74</v>
      </c>
      <c r="C48" s="179"/>
      <c r="D48" s="186"/>
      <c r="E48" s="187"/>
      <c r="F48" s="36"/>
      <c r="G48" s="36"/>
      <c r="H48" s="36"/>
      <c r="I48" s="3"/>
      <c r="J48" s="3"/>
      <c r="K48" s="3">
        <v>48</v>
      </c>
      <c r="L48" s="4" t="s">
        <v>25</v>
      </c>
      <c r="M48" s="9">
        <f t="shared" si="1"/>
        <v>0</v>
      </c>
      <c r="N48" s="3" t="s">
        <v>0</v>
      </c>
      <c r="O48" s="3" t="s">
        <v>7</v>
      </c>
      <c r="P48" s="3" t="s">
        <v>7</v>
      </c>
      <c r="Q48" s="3" t="s">
        <v>7</v>
      </c>
      <c r="R48" s="3" t="s">
        <v>7</v>
      </c>
      <c r="S48" s="3" t="s">
        <v>2</v>
      </c>
      <c r="T48" s="3" t="s">
        <v>5</v>
      </c>
      <c r="U48" s="3" t="s">
        <v>5</v>
      </c>
      <c r="V48" s="3"/>
      <c r="W48" s="3"/>
      <c r="X48" s="3"/>
      <c r="Y48" s="3"/>
      <c r="Z48" s="3"/>
    </row>
    <row r="49" spans="1:27" ht="15" customHeight="1" hidden="1" thickBot="1">
      <c r="A49" s="56">
        <f>IF(C16="","",D52)</f>
      </c>
      <c r="B49" s="101">
        <f>IF(A42="","",VLOOKUP($A$42,Indices!A3:$G$500,7))</f>
      </c>
      <c r="C49" s="58">
        <f>IF(B49="",0,C45*B49)</f>
        <v>0</v>
      </c>
      <c r="D49" s="208">
        <f>IF(B49="",0,D45*B49)</f>
        <v>0</v>
      </c>
      <c r="E49" s="209"/>
      <c r="F49" s="36"/>
      <c r="G49" s="36"/>
      <c r="H49" s="36"/>
      <c r="I49" s="3"/>
      <c r="J49" s="3"/>
      <c r="K49" s="13">
        <v>49</v>
      </c>
      <c r="L49" s="4" t="s">
        <v>69</v>
      </c>
      <c r="M49" s="9">
        <f t="shared" si="1"/>
        <v>0</v>
      </c>
      <c r="N49" s="3" t="s">
        <v>0</v>
      </c>
      <c r="O49" s="3" t="s">
        <v>7</v>
      </c>
      <c r="P49" s="3" t="s">
        <v>7</v>
      </c>
      <c r="Q49" s="3" t="s">
        <v>7</v>
      </c>
      <c r="R49" s="3" t="s">
        <v>7</v>
      </c>
      <c r="S49" s="3" t="s">
        <v>2</v>
      </c>
      <c r="T49" s="3" t="s">
        <v>2</v>
      </c>
      <c r="U49" s="3" t="s">
        <v>5</v>
      </c>
      <c r="V49" s="80"/>
      <c r="W49" s="80"/>
      <c r="X49" s="80"/>
      <c r="Y49" s="80"/>
      <c r="Z49" s="80"/>
      <c r="AA49" s="80"/>
    </row>
    <row r="50" spans="1:27" ht="15" customHeight="1" hidden="1" thickBot="1">
      <c r="A50" s="54"/>
      <c r="B50" s="54"/>
      <c r="C50" s="54"/>
      <c r="D50" s="54"/>
      <c r="E50" s="54"/>
      <c r="F50" s="36"/>
      <c r="G50" s="36"/>
      <c r="H50" s="36"/>
      <c r="I50" s="3"/>
      <c r="J50" s="3"/>
      <c r="K50" s="3">
        <v>50</v>
      </c>
      <c r="L50" s="4" t="s">
        <v>70</v>
      </c>
      <c r="M50" s="9">
        <f t="shared" si="1"/>
        <v>0</v>
      </c>
      <c r="N50" s="3" t="s">
        <v>0</v>
      </c>
      <c r="O50" s="3" t="s">
        <v>7</v>
      </c>
      <c r="P50" s="3" t="s">
        <v>7</v>
      </c>
      <c r="Q50" s="3" t="s">
        <v>7</v>
      </c>
      <c r="R50" s="3" t="s">
        <v>7</v>
      </c>
      <c r="S50" s="3" t="s">
        <v>5</v>
      </c>
      <c r="T50" s="3" t="s">
        <v>5</v>
      </c>
      <c r="U50" s="3" t="s">
        <v>5</v>
      </c>
      <c r="V50" s="80"/>
      <c r="W50" s="80"/>
      <c r="X50" s="80"/>
      <c r="Y50" s="80"/>
      <c r="Z50" s="80"/>
      <c r="AA50" s="80"/>
    </row>
    <row r="51" spans="1:27" ht="15" customHeight="1" hidden="1">
      <c r="A51" s="198" t="s">
        <v>45</v>
      </c>
      <c r="B51" s="199"/>
      <c r="C51" s="199"/>
      <c r="D51" s="202" t="s">
        <v>46</v>
      </c>
      <c r="E51" s="203"/>
      <c r="F51" s="36"/>
      <c r="G51" s="36"/>
      <c r="H51" s="36"/>
      <c r="I51" s="3"/>
      <c r="J51" s="3"/>
      <c r="K51" s="13">
        <v>51</v>
      </c>
      <c r="L51" s="4" t="s">
        <v>71</v>
      </c>
      <c r="M51" s="9">
        <f t="shared" si="1"/>
        <v>0</v>
      </c>
      <c r="N51" s="3" t="s">
        <v>0</v>
      </c>
      <c r="O51" s="3" t="s">
        <v>7</v>
      </c>
      <c r="P51" s="3" t="s">
        <v>0</v>
      </c>
      <c r="Q51" s="3" t="s">
        <v>0</v>
      </c>
      <c r="R51" s="3" t="s">
        <v>0</v>
      </c>
      <c r="S51" s="3" t="s">
        <v>0</v>
      </c>
      <c r="T51" s="3" t="s">
        <v>0</v>
      </c>
      <c r="U51" s="3" t="s">
        <v>0</v>
      </c>
      <c r="V51" s="80"/>
      <c r="W51" s="80"/>
      <c r="X51" s="80"/>
      <c r="Y51" s="80"/>
      <c r="Z51" s="80"/>
      <c r="AA51" s="80"/>
    </row>
    <row r="52" spans="1:26" ht="21" customHeight="1" hidden="1" thickBot="1">
      <c r="A52" s="200"/>
      <c r="B52" s="201"/>
      <c r="C52" s="201"/>
      <c r="D52" s="206" t="e">
        <f>MIN($C$16,HLOOKUP($U$63,Indices!AG1:AK2,2))</f>
        <v>#N/A</v>
      </c>
      <c r="E52" s="207"/>
      <c r="F52" s="36"/>
      <c r="G52" s="36"/>
      <c r="H52" s="36"/>
      <c r="I52" s="3"/>
      <c r="J52" s="3"/>
      <c r="K52" s="3">
        <v>52</v>
      </c>
      <c r="L52" s="4" t="s">
        <v>30</v>
      </c>
      <c r="M52" s="9">
        <f t="shared" si="1"/>
        <v>0</v>
      </c>
      <c r="N52" s="3" t="s">
        <v>0</v>
      </c>
      <c r="O52" s="3" t="s">
        <v>7</v>
      </c>
      <c r="P52" s="3" t="s">
        <v>7</v>
      </c>
      <c r="Q52" s="3" t="s">
        <v>0</v>
      </c>
      <c r="R52" s="3" t="s">
        <v>0</v>
      </c>
      <c r="S52" s="3" t="s">
        <v>0</v>
      </c>
      <c r="T52" s="3" t="s">
        <v>0</v>
      </c>
      <c r="U52" s="3" t="s">
        <v>0</v>
      </c>
      <c r="V52" s="3"/>
      <c r="W52" s="3"/>
      <c r="X52" s="3"/>
      <c r="Y52" s="3"/>
      <c r="Z52" s="3"/>
    </row>
    <row r="53" spans="1:26" ht="15" customHeight="1" hidden="1">
      <c r="A53" s="213" t="s">
        <v>47</v>
      </c>
      <c r="B53" s="214"/>
      <c r="C53" s="215"/>
      <c r="D53" s="241">
        <f>C49</f>
        <v>0</v>
      </c>
      <c r="E53" s="242"/>
      <c r="F53" s="36"/>
      <c r="G53" s="36"/>
      <c r="H53" s="36"/>
      <c r="I53" s="3"/>
      <c r="J53" s="3"/>
      <c r="K53" s="13">
        <v>53</v>
      </c>
      <c r="L53" s="4" t="s">
        <v>31</v>
      </c>
      <c r="M53" s="9">
        <f t="shared" si="1"/>
        <v>0</v>
      </c>
      <c r="N53" s="3" t="s">
        <v>0</v>
      </c>
      <c r="O53" s="3" t="s">
        <v>7</v>
      </c>
      <c r="P53" s="3" t="s">
        <v>7</v>
      </c>
      <c r="Q53" s="3" t="s">
        <v>7</v>
      </c>
      <c r="R53" s="3" t="s">
        <v>0</v>
      </c>
      <c r="S53" s="3" t="s">
        <v>0</v>
      </c>
      <c r="T53" s="3" t="s">
        <v>0</v>
      </c>
      <c r="U53" s="3" t="s">
        <v>0</v>
      </c>
      <c r="V53" s="3"/>
      <c r="W53" s="3"/>
      <c r="X53" s="3"/>
      <c r="Y53" s="3"/>
      <c r="Z53" s="3"/>
    </row>
    <row r="54" spans="1:26" ht="15" customHeight="1" hidden="1">
      <c r="A54" s="216" t="s">
        <v>77</v>
      </c>
      <c r="B54" s="217"/>
      <c r="C54" s="218"/>
      <c r="D54" s="204">
        <f>IF(C4="",0,IF(C4="Selecionar",0,IF(D49=0,C49*C17,D49)))</f>
        <v>0</v>
      </c>
      <c r="E54" s="243"/>
      <c r="F54" s="36"/>
      <c r="G54" s="36"/>
      <c r="H54" s="36"/>
      <c r="I54" s="3"/>
      <c r="J54" s="3"/>
      <c r="K54" s="3">
        <v>54</v>
      </c>
      <c r="L54" s="4" t="s">
        <v>35</v>
      </c>
      <c r="M54" s="9">
        <f t="shared" si="1"/>
        <v>0</v>
      </c>
      <c r="N54" s="3" t="s">
        <v>0</v>
      </c>
      <c r="O54" s="3" t="s">
        <v>0</v>
      </c>
      <c r="P54" s="3" t="s">
        <v>0</v>
      </c>
      <c r="Q54" s="3" t="s">
        <v>0</v>
      </c>
      <c r="R54" s="3" t="s">
        <v>0</v>
      </c>
      <c r="S54" s="3" t="s">
        <v>2</v>
      </c>
      <c r="T54" s="3" t="s">
        <v>2</v>
      </c>
      <c r="U54" s="3" t="s">
        <v>2</v>
      </c>
      <c r="V54" s="3"/>
      <c r="W54" s="3"/>
      <c r="X54" s="3"/>
      <c r="Y54" s="3"/>
      <c r="Z54" s="3"/>
    </row>
    <row r="55" spans="1:26" ht="15" customHeight="1" hidden="1">
      <c r="A55" s="216" t="str">
        <f>"Honorários de execução "&amp;TEXT($C$18,"0%")&amp;":"</f>
        <v>Honorários de execução 0%:</v>
      </c>
      <c r="B55" s="217"/>
      <c r="C55" s="217"/>
      <c r="D55" s="204">
        <f>IF(C18="",0,(D53+D54)*C18)</f>
        <v>0</v>
      </c>
      <c r="E55" s="243"/>
      <c r="F55" s="36"/>
      <c r="G55" s="36"/>
      <c r="H55" s="36"/>
      <c r="I55" s="3"/>
      <c r="J55" s="3"/>
      <c r="K55" s="13">
        <v>55</v>
      </c>
      <c r="L55" s="4" t="s">
        <v>32</v>
      </c>
      <c r="M55" s="9">
        <f t="shared" si="1"/>
        <v>0</v>
      </c>
      <c r="N55" s="3" t="s">
        <v>0</v>
      </c>
      <c r="O55" s="3" t="s">
        <v>0</v>
      </c>
      <c r="P55" s="3" t="s">
        <v>0</v>
      </c>
      <c r="Q55" s="3" t="s">
        <v>0</v>
      </c>
      <c r="R55" s="3" t="s">
        <v>0</v>
      </c>
      <c r="S55" s="3" t="s">
        <v>2</v>
      </c>
      <c r="T55" s="3" t="s">
        <v>0</v>
      </c>
      <c r="U55" s="3" t="s">
        <v>0</v>
      </c>
      <c r="V55" s="3"/>
      <c r="W55" s="3"/>
      <c r="X55" s="3"/>
      <c r="Y55" s="3"/>
      <c r="Z55" s="3"/>
    </row>
    <row r="56" spans="1:26" ht="15" customHeight="1" hidden="1" thickBot="1">
      <c r="A56" s="229" t="s">
        <v>6</v>
      </c>
      <c r="B56" s="230"/>
      <c r="C56" s="231"/>
      <c r="D56" s="246">
        <f>SUM(D53:E55)</f>
        <v>0</v>
      </c>
      <c r="E56" s="247"/>
      <c r="F56" s="36"/>
      <c r="G56" s="36"/>
      <c r="H56" s="36"/>
      <c r="I56" s="3"/>
      <c r="J56" s="3"/>
      <c r="K56" s="3">
        <v>56</v>
      </c>
      <c r="L56" s="38" t="s">
        <v>33</v>
      </c>
      <c r="M56" s="9">
        <f t="shared" si="1"/>
        <v>0</v>
      </c>
      <c r="N56" s="3" t="s">
        <v>0</v>
      </c>
      <c r="O56" s="3" t="s">
        <v>0</v>
      </c>
      <c r="P56" s="3" t="s">
        <v>0</v>
      </c>
      <c r="Q56" s="3" t="s">
        <v>0</v>
      </c>
      <c r="R56" s="3" t="s">
        <v>0</v>
      </c>
      <c r="S56" s="3" t="s">
        <v>2</v>
      </c>
      <c r="T56" s="3" t="s">
        <v>2</v>
      </c>
      <c r="U56" s="3" t="s">
        <v>0</v>
      </c>
      <c r="V56" s="3"/>
      <c r="W56" s="3"/>
      <c r="X56" s="3"/>
      <c r="Y56" s="3"/>
      <c r="Z56" s="3"/>
    </row>
    <row r="57" spans="1:26" ht="15" customHeight="1" hidden="1">
      <c r="A57" s="59"/>
      <c r="B57" s="59"/>
      <c r="C57" s="59"/>
      <c r="D57" s="59"/>
      <c r="E57" s="59"/>
      <c r="F57" s="36"/>
      <c r="G57" s="36"/>
      <c r="H57" s="36"/>
      <c r="I57" s="3"/>
      <c r="J57" s="3"/>
      <c r="K57" s="13">
        <v>57</v>
      </c>
      <c r="L57" s="38" t="s">
        <v>26</v>
      </c>
      <c r="M57" s="9">
        <f t="shared" si="1"/>
        <v>0</v>
      </c>
      <c r="N57" s="3" t="s">
        <v>0</v>
      </c>
      <c r="O57" s="3" t="s">
        <v>0</v>
      </c>
      <c r="P57" s="3" t="s">
        <v>0</v>
      </c>
      <c r="Q57" s="3" t="s">
        <v>0</v>
      </c>
      <c r="R57" s="3" t="s">
        <v>0</v>
      </c>
      <c r="S57" s="3" t="s">
        <v>2</v>
      </c>
      <c r="T57" s="3" t="s">
        <v>5</v>
      </c>
      <c r="U57" s="3" t="s">
        <v>5</v>
      </c>
      <c r="V57" s="3"/>
      <c r="W57" s="3"/>
      <c r="X57" s="3"/>
      <c r="Y57" s="3"/>
      <c r="Z57" s="3"/>
    </row>
    <row r="58" spans="1:26" ht="15" customHeight="1" hidden="1">
      <c r="A58" s="217" t="str">
        <f>"Honorários contratuais "&amp;TEXT($C$19,"0%")&amp;", se houver pedido de destaque:"</f>
        <v>Honorários contratuais 0%, se houver pedido de destaque:</v>
      </c>
      <c r="B58" s="217"/>
      <c r="C58" s="217"/>
      <c r="D58" s="204">
        <f>IF(C19="",0,D53*C19)</f>
        <v>0</v>
      </c>
      <c r="E58" s="205"/>
      <c r="F58" s="36"/>
      <c r="G58" s="36"/>
      <c r="H58" s="36"/>
      <c r="I58" s="3"/>
      <c r="J58" s="3"/>
      <c r="K58" s="3">
        <v>58</v>
      </c>
      <c r="L58" s="38" t="s">
        <v>27</v>
      </c>
      <c r="M58" s="9">
        <f t="shared" si="1"/>
        <v>0</v>
      </c>
      <c r="N58" s="3" t="s">
        <v>0</v>
      </c>
      <c r="O58" s="3" t="s">
        <v>0</v>
      </c>
      <c r="P58" s="3" t="s">
        <v>0</v>
      </c>
      <c r="Q58" s="3" t="s">
        <v>0</v>
      </c>
      <c r="R58" s="3" t="s">
        <v>0</v>
      </c>
      <c r="S58" s="3" t="s">
        <v>2</v>
      </c>
      <c r="T58" s="3" t="s">
        <v>2</v>
      </c>
      <c r="U58" s="3" t="s">
        <v>5</v>
      </c>
      <c r="V58" s="3"/>
      <c r="W58" s="3"/>
      <c r="X58" s="3"/>
      <c r="Y58" s="3"/>
      <c r="Z58" s="3"/>
    </row>
    <row r="59" spans="1:26" ht="15" customHeight="1" hidden="1">
      <c r="A59" s="248"/>
      <c r="B59" s="248"/>
      <c r="C59" s="248"/>
      <c r="D59" s="60"/>
      <c r="E59" s="61"/>
      <c r="F59" s="36"/>
      <c r="G59" s="36"/>
      <c r="H59" s="36"/>
      <c r="I59" s="3"/>
      <c r="J59" s="3"/>
      <c r="K59" s="13">
        <v>59</v>
      </c>
      <c r="L59" s="38" t="s">
        <v>36</v>
      </c>
      <c r="M59" s="9">
        <f t="shared" si="1"/>
        <v>0</v>
      </c>
      <c r="N59" s="3" t="s">
        <v>0</v>
      </c>
      <c r="O59" s="3" t="s">
        <v>0</v>
      </c>
      <c r="P59" s="3" t="s">
        <v>0</v>
      </c>
      <c r="Q59" s="3" t="s">
        <v>0</v>
      </c>
      <c r="R59" s="3" t="s">
        <v>0</v>
      </c>
      <c r="S59" s="3" t="s">
        <v>5</v>
      </c>
      <c r="T59" s="3" t="s">
        <v>5</v>
      </c>
      <c r="U59" s="3" t="s">
        <v>5</v>
      </c>
      <c r="V59" s="3"/>
      <c r="W59" s="3"/>
      <c r="X59" s="3"/>
      <c r="Y59" s="3"/>
      <c r="Z59" s="3"/>
    </row>
    <row r="60" spans="1:26" ht="15" customHeight="1" hidden="1">
      <c r="A60" s="219" t="str">
        <f>"Líquido para "&amp;C2&amp;":"</f>
        <v>Líquido para :</v>
      </c>
      <c r="B60" s="220"/>
      <c r="C60" s="221"/>
      <c r="D60" s="244">
        <f>IF(D53="",0,D53-D58)</f>
        <v>0</v>
      </c>
      <c r="E60" s="245"/>
      <c r="F60" s="36"/>
      <c r="G60" s="36"/>
      <c r="H60" s="36"/>
      <c r="I60" s="3"/>
      <c r="J60" s="3"/>
      <c r="K60" s="3">
        <v>60</v>
      </c>
      <c r="L60" s="38" t="s">
        <v>37</v>
      </c>
      <c r="M60" s="9">
        <f t="shared" si="1"/>
        <v>0</v>
      </c>
      <c r="N60" s="3" t="s">
        <v>5</v>
      </c>
      <c r="O60" s="3" t="s">
        <v>5</v>
      </c>
      <c r="P60" s="3" t="s">
        <v>5</v>
      </c>
      <c r="Q60" s="3" t="s">
        <v>5</v>
      </c>
      <c r="R60" s="3" t="s">
        <v>5</v>
      </c>
      <c r="S60" s="3" t="s">
        <v>2</v>
      </c>
      <c r="T60" s="3" t="s">
        <v>2</v>
      </c>
      <c r="U60" s="3" t="s">
        <v>2</v>
      </c>
      <c r="V60" s="3"/>
      <c r="W60" s="3"/>
      <c r="X60" s="3"/>
      <c r="Y60" s="3"/>
      <c r="Z60" s="3"/>
    </row>
    <row r="61" spans="1:26" ht="15" customHeight="1" hidden="1">
      <c r="A61" s="3"/>
      <c r="B61" s="3"/>
      <c r="C61" s="3"/>
      <c r="D61" s="3"/>
      <c r="E61" s="3"/>
      <c r="K61" s="13">
        <v>61</v>
      </c>
      <c r="L61" s="38" t="s">
        <v>28</v>
      </c>
      <c r="M61" s="9">
        <f t="shared" si="1"/>
        <v>0</v>
      </c>
      <c r="N61" s="3" t="s">
        <v>5</v>
      </c>
      <c r="O61" s="3" t="s">
        <v>5</v>
      </c>
      <c r="P61" s="3" t="s">
        <v>5</v>
      </c>
      <c r="Q61" s="3" t="s">
        <v>5</v>
      </c>
      <c r="R61" s="3" t="s">
        <v>5</v>
      </c>
      <c r="S61" s="3" t="s">
        <v>2</v>
      </c>
      <c r="T61" s="3" t="s">
        <v>5</v>
      </c>
      <c r="U61" s="3" t="s">
        <v>5</v>
      </c>
      <c r="V61" s="3"/>
      <c r="W61" s="3"/>
      <c r="X61" s="3"/>
      <c r="Y61" s="3"/>
      <c r="Z61" s="3"/>
    </row>
    <row r="62" spans="1:26" ht="15" customHeight="1" hidden="1" thickBot="1">
      <c r="A62" s="54"/>
      <c r="B62" s="54"/>
      <c r="C62" s="54"/>
      <c r="D62" s="54"/>
      <c r="E62" s="54"/>
      <c r="K62" s="3">
        <v>62</v>
      </c>
      <c r="L62" s="38" t="s">
        <v>29</v>
      </c>
      <c r="M62" s="9">
        <f t="shared" si="1"/>
        <v>0</v>
      </c>
      <c r="N62" s="41" t="s">
        <v>5</v>
      </c>
      <c r="O62" s="41" t="s">
        <v>5</v>
      </c>
      <c r="P62" s="41" t="s">
        <v>5</v>
      </c>
      <c r="Q62" s="41" t="s">
        <v>5</v>
      </c>
      <c r="R62" s="41" t="s">
        <v>5</v>
      </c>
      <c r="S62" s="41" t="s">
        <v>2</v>
      </c>
      <c r="T62" s="41" t="s">
        <v>2</v>
      </c>
      <c r="U62" s="41" t="s">
        <v>5</v>
      </c>
      <c r="V62" s="3"/>
      <c r="W62" s="3"/>
      <c r="X62" s="3"/>
      <c r="Y62" s="3"/>
      <c r="Z62" s="3"/>
    </row>
    <row r="63" spans="1:26" ht="15" customHeight="1" hidden="1" thickBot="1" thickTop="1">
      <c r="A63" s="249" t="s">
        <v>78</v>
      </c>
      <c r="B63" s="250"/>
      <c r="C63" s="250"/>
      <c r="D63" s="250"/>
      <c r="E63" s="251"/>
      <c r="K63" s="13">
        <v>63</v>
      </c>
      <c r="L63" s="38"/>
      <c r="M63" s="42">
        <v>1</v>
      </c>
      <c r="N63" s="86" t="e">
        <f>VLOOKUP($M$63,$M$42:$Y$62,2,0)</f>
        <v>#N/A</v>
      </c>
      <c r="O63" s="86" t="e">
        <f>VLOOKUP($M$63,$M$42:$Y$62,3,0)</f>
        <v>#N/A</v>
      </c>
      <c r="P63" s="86" t="e">
        <f>VLOOKUP($M$63,$M$42:$Y$62,4,0)</f>
        <v>#N/A</v>
      </c>
      <c r="Q63" s="86" t="e">
        <f>VLOOKUP($M$63,$M$42:$Y$62,5,0)</f>
        <v>#N/A</v>
      </c>
      <c r="R63" s="86" t="e">
        <f>VLOOKUP($M$63,$M$42:$Y$62,6,0)</f>
        <v>#N/A</v>
      </c>
      <c r="S63" s="86" t="e">
        <f>VLOOKUP($M$63,$M$42:$Y$62,7,0)</f>
        <v>#N/A</v>
      </c>
      <c r="T63" s="86" t="e">
        <f>VLOOKUP($M$63,$M$42:$Y$62,8,0)</f>
        <v>#N/A</v>
      </c>
      <c r="U63" s="87" t="e">
        <f>VLOOKUP($M$63,$M$42:$Y$62,9,0)</f>
        <v>#N/A</v>
      </c>
      <c r="V63" s="43"/>
      <c r="W63" s="43"/>
      <c r="X63" s="43"/>
      <c r="Y63" s="43"/>
      <c r="Z63" s="43"/>
    </row>
    <row r="64" spans="1:5" ht="15" customHeight="1" hidden="1" thickTop="1">
      <c r="A64" s="93" t="s">
        <v>48</v>
      </c>
      <c r="B64" s="225" t="str">
        <f>C4</f>
        <v>Selecionar</v>
      </c>
      <c r="C64" s="226"/>
      <c r="D64" s="226"/>
      <c r="E64" s="227"/>
    </row>
    <row r="65" spans="1:5" ht="15" customHeight="1" hidden="1">
      <c r="A65" s="93" t="s">
        <v>49</v>
      </c>
      <c r="B65" s="222" t="str">
        <f>" "&amp;C13&amp;" até a data da autuação;"&amp;" após, "&amp;C14&amp;"."</f>
        <v> Selecionar até a data da autuação; após, Selecionar.</v>
      </c>
      <c r="C65" s="223"/>
      <c r="D65" s="223"/>
      <c r="E65" s="224"/>
    </row>
    <row r="66" spans="1:5" ht="15" customHeight="1" hidden="1">
      <c r="A66" s="93" t="s">
        <v>15</v>
      </c>
      <c r="B66" s="225">
        <f>IF($C$15="0,5% - poupança"," de 0,5% até  jun/2009; após, juros aplicáveis à poupança.",IF($C$15="1,0% - poupança"," de 1% até jun/2009; após, juros aplicáveis à poupança.",IF($C$15=0.5%," de 0,5% em todo período.",IF($C$15=1%," de 1,0% em todo período.",""))))</f>
      </c>
      <c r="C66" s="226"/>
      <c r="D66" s="226"/>
      <c r="E66" s="227"/>
    </row>
    <row r="67" spans="1:5" ht="15" customHeight="1" hidden="1">
      <c r="A67" s="96"/>
      <c r="B67" s="97"/>
      <c r="C67" s="97"/>
      <c r="D67" s="97"/>
      <c r="E67" s="97"/>
    </row>
    <row r="68" spans="1:5" ht="15" customHeight="1" hidden="1">
      <c r="A68" s="98"/>
      <c r="B68" s="99"/>
      <c r="C68" s="99"/>
      <c r="D68" s="99"/>
      <c r="E68" s="99"/>
    </row>
    <row r="69" spans="1:5" ht="15" customHeight="1" hidden="1">
      <c r="A69" s="249" t="s">
        <v>19</v>
      </c>
      <c r="B69" s="250"/>
      <c r="C69" s="250"/>
      <c r="D69" s="250"/>
      <c r="E69" s="251"/>
    </row>
    <row r="70" spans="1:5" ht="15" customHeight="1" hidden="1">
      <c r="A70" s="232">
        <f>IF(A24="","",A24)</f>
      </c>
      <c r="B70" s="233"/>
      <c r="C70" s="233"/>
      <c r="D70" s="233"/>
      <c r="E70" s="234"/>
    </row>
    <row r="71" spans="1:5" ht="15" customHeight="1" hidden="1">
      <c r="A71" s="235"/>
      <c r="B71" s="236"/>
      <c r="C71" s="236"/>
      <c r="D71" s="236"/>
      <c r="E71" s="237"/>
    </row>
    <row r="72" spans="1:5" ht="15" customHeight="1" hidden="1">
      <c r="A72" s="238"/>
      <c r="B72" s="239"/>
      <c r="C72" s="239"/>
      <c r="D72" s="239"/>
      <c r="E72" s="240"/>
    </row>
    <row r="73" ht="15" hidden="1"/>
    <row r="74" spans="1:3" ht="15" hidden="1">
      <c r="A74" s="228" t="str">
        <f>C20&amp;","</f>
        <v>,</v>
      </c>
      <c r="B74" s="228"/>
      <c r="C74" s="95" t="str">
        <f ca="1">TEXT(TODAY(),"dd")&amp;" de "&amp;TEXT(TODAY(),"mmmm")&amp;" de "&amp;TEXT(TODAY(),"aaaa")&amp;"."</f>
        <v>03 de janeiro de 2020.</v>
      </c>
    </row>
    <row r="75" spans="1:3" ht="15" hidden="1">
      <c r="A75" s="102"/>
      <c r="B75" s="212">
        <f>IF(C21="","",C21)</f>
      </c>
      <c r="C75" s="212"/>
    </row>
    <row r="77" ht="15"/>
    <row r="78" ht="15"/>
    <row r="94" ht="15"/>
    <row r="95" ht="15"/>
  </sheetData>
  <sheetProtection password="C66B" sheet="1" objects="1" scenarios="1"/>
  <mergeCells count="66">
    <mergeCell ref="A70:E72"/>
    <mergeCell ref="D53:E53"/>
    <mergeCell ref="D54:E54"/>
    <mergeCell ref="D55:E55"/>
    <mergeCell ref="D60:E60"/>
    <mergeCell ref="D56:E56"/>
    <mergeCell ref="A59:C59"/>
    <mergeCell ref="A63:E63"/>
    <mergeCell ref="A69:E69"/>
    <mergeCell ref="B64:E64"/>
    <mergeCell ref="B75:C75"/>
    <mergeCell ref="A53:C53"/>
    <mergeCell ref="A54:C54"/>
    <mergeCell ref="A55:C55"/>
    <mergeCell ref="A58:C58"/>
    <mergeCell ref="A60:C60"/>
    <mergeCell ref="B65:E65"/>
    <mergeCell ref="B66:E66"/>
    <mergeCell ref="A74:B74"/>
    <mergeCell ref="A56:C56"/>
    <mergeCell ref="D58:E58"/>
    <mergeCell ref="D52:E52"/>
    <mergeCell ref="D49:E49"/>
    <mergeCell ref="D43:E43"/>
    <mergeCell ref="D45:E45"/>
    <mergeCell ref="A51:C52"/>
    <mergeCell ref="D47:E48"/>
    <mergeCell ref="D51:E51"/>
    <mergeCell ref="C47:C48"/>
    <mergeCell ref="A47:A48"/>
    <mergeCell ref="A40:A41"/>
    <mergeCell ref="C40:C41"/>
    <mergeCell ref="D44:E44"/>
    <mergeCell ref="B33:E33"/>
    <mergeCell ref="D40:E41"/>
    <mergeCell ref="D36:E36"/>
    <mergeCell ref="D42:E42"/>
    <mergeCell ref="C43:C44"/>
    <mergeCell ref="A42:A45"/>
    <mergeCell ref="A36:A37"/>
    <mergeCell ref="A19:B19"/>
    <mergeCell ref="B32:E32"/>
    <mergeCell ref="A24:C26"/>
    <mergeCell ref="D37:E37"/>
    <mergeCell ref="B34:E34"/>
    <mergeCell ref="A20:B20"/>
    <mergeCell ref="A18:B18"/>
    <mergeCell ref="A8:B8"/>
    <mergeCell ref="A12:B12"/>
    <mergeCell ref="D38:E38"/>
    <mergeCell ref="A9:A11"/>
    <mergeCell ref="A13:B13"/>
    <mergeCell ref="A15:B15"/>
    <mergeCell ref="D9:F11"/>
    <mergeCell ref="C36:C37"/>
    <mergeCell ref="A21:B21"/>
    <mergeCell ref="A17:B17"/>
    <mergeCell ref="A5:B5"/>
    <mergeCell ref="A6:B6"/>
    <mergeCell ref="A16:B16"/>
    <mergeCell ref="A14:B14"/>
    <mergeCell ref="A7:B7"/>
    <mergeCell ref="A1:B1"/>
    <mergeCell ref="A2:B2"/>
    <mergeCell ref="A3:B3"/>
    <mergeCell ref="A4:B4"/>
  </mergeCells>
  <dataValidations count="5">
    <dataValidation errorStyle="warning" type="date" operator="lessThan" allowBlank="1" showInputMessage="1" showErrorMessage="1" errorTitle="ATENÇÃO!" error="Nos termos do art. 58 da Resolução 458/2017-CJF, nas RPVs autuadas a partir de dez/2017, bem como nos Precatórios autuados a partir de 02/07/2017, já foram incluídos, administativamente, os juros de mora." sqref="C12">
      <formula1>J12</formula1>
    </dataValidation>
    <dataValidation type="list" allowBlank="1" showInputMessage="1" showErrorMessage="1" sqref="C13:C14">
      <formula1>$L$1:$L$22</formula1>
    </dataValidation>
    <dataValidation type="list" allowBlank="1" showInputMessage="1" showErrorMessage="1" sqref="L38">
      <formula1>$L$32:$L$33</formula1>
    </dataValidation>
    <dataValidation type="list" allowBlank="1" showInputMessage="1" showErrorMessage="1" sqref="C4">
      <formula1>$L$29:$L$31</formula1>
    </dataValidation>
    <dataValidation type="list" allowBlank="1" showInputMessage="1" showErrorMessage="1" errorTitle="Atenção!" error="O percentual deve ser 0,5% ou 1,0%." sqref="C15">
      <formula1>$M$29:$M$33</formula1>
    </dataValidation>
  </dataValidations>
  <printOptions/>
  <pageMargins left="0.44" right="0.26" top="0.9423295454545455" bottom="0.4724409448818898" header="0.20255681818181817" footer="0.2755905511811024"/>
  <pageSetup horizontalDpi="600" verticalDpi="600" orientation="portrait" paperSize="9" scale="93" r:id="rId3"/>
  <headerFooter alignWithMargins="0">
    <oddHeader>&amp;C&amp;"Calibri,Negrito"&amp;14PROGRAMA DE CÁLCULO DE
JUROS COMPLEMENTARES
Tema 96 do STF&amp;"Calibri,Regular"&amp;11
Desenvolvido pelo Núcleo de Cálculos Judiciais da Justiça Federal-RS</oddHeader>
    <oddFooter>&amp;CDisponível em: https://www2.jfrs.jus.br/programa-tema-96-stf</oddFooter>
  </headerFooter>
  <colBreaks count="1" manualBreakCount="1">
    <brk id="1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K500"/>
  <sheetViews>
    <sheetView zoomScalePageLayoutView="0" workbookViewId="0" topLeftCell="A1">
      <pane ySplit="2" topLeftCell="BM301" activePane="bottomLeft" state="frozen"/>
      <selection pane="topLeft" activeCell="A1" sqref="A1"/>
      <selection pane="bottomLeft" activeCell="J308" sqref="J308"/>
    </sheetView>
  </sheetViews>
  <sheetFormatPr defaultColWidth="9.140625" defaultRowHeight="15"/>
  <cols>
    <col min="1" max="15" width="9.140625" style="104" customWidth="1"/>
    <col min="16" max="16" width="11.57421875" style="104" customWidth="1"/>
    <col min="17" max="17" width="9.140625" style="104" customWidth="1"/>
    <col min="18" max="18" width="12.421875" style="104" customWidth="1"/>
    <col min="19" max="19" width="9.140625" style="104" customWidth="1"/>
    <col min="20" max="20" width="14.57421875" style="104" customWidth="1"/>
    <col min="21" max="31" width="9.140625" style="104" customWidth="1"/>
    <col min="32" max="32" width="3.7109375" style="104" customWidth="1"/>
    <col min="33" max="16384" width="9.140625" style="104" customWidth="1"/>
  </cols>
  <sheetData>
    <row r="1" spans="1:37" ht="15">
      <c r="A1" s="103">
        <v>1</v>
      </c>
      <c r="B1" s="103">
        <v>2</v>
      </c>
      <c r="C1" s="103">
        <v>3</v>
      </c>
      <c r="D1" s="103">
        <v>4</v>
      </c>
      <c r="E1" s="103">
        <v>5</v>
      </c>
      <c r="F1" s="103">
        <v>6</v>
      </c>
      <c r="G1" s="103">
        <v>7</v>
      </c>
      <c r="H1" s="103">
        <v>8</v>
      </c>
      <c r="I1" s="103">
        <v>9</v>
      </c>
      <c r="J1" s="103">
        <v>10</v>
      </c>
      <c r="K1" s="103">
        <v>11</v>
      </c>
      <c r="L1" s="103">
        <v>12</v>
      </c>
      <c r="M1" s="103">
        <v>13</v>
      </c>
      <c r="N1" s="103">
        <v>14</v>
      </c>
      <c r="O1" s="103">
        <v>15</v>
      </c>
      <c r="P1" s="103">
        <v>16</v>
      </c>
      <c r="Q1" s="103">
        <v>17</v>
      </c>
      <c r="R1" s="103">
        <v>18</v>
      </c>
      <c r="S1" s="103">
        <v>19</v>
      </c>
      <c r="T1" s="103">
        <v>20</v>
      </c>
      <c r="AA1" s="105" t="s">
        <v>5</v>
      </c>
      <c r="AB1" s="106" t="s">
        <v>0</v>
      </c>
      <c r="AC1" s="105" t="s">
        <v>2</v>
      </c>
      <c r="AD1" s="106" t="s">
        <v>7</v>
      </c>
      <c r="AE1" s="107" t="s">
        <v>4</v>
      </c>
      <c r="AG1" s="106" t="s">
        <v>7</v>
      </c>
      <c r="AH1" s="106" t="s">
        <v>0</v>
      </c>
      <c r="AI1" s="105" t="s">
        <v>5</v>
      </c>
      <c r="AJ1" s="107" t="s">
        <v>4</v>
      </c>
      <c r="AK1" s="105" t="s">
        <v>2</v>
      </c>
    </row>
    <row r="2" spans="3:37" ht="15">
      <c r="C2" s="108"/>
      <c r="D2" s="109">
        <f>Dados!$C$12</f>
        <v>0</v>
      </c>
      <c r="E2" s="109"/>
      <c r="F2" s="109"/>
      <c r="G2" s="109">
        <f>Dados!$C$16</f>
        <v>0</v>
      </c>
      <c r="H2" s="110"/>
      <c r="I2" s="105" t="s">
        <v>5</v>
      </c>
      <c r="J2" s="106" t="s">
        <v>0</v>
      </c>
      <c r="K2" s="105" t="s">
        <v>2</v>
      </c>
      <c r="L2" s="106" t="s">
        <v>7</v>
      </c>
      <c r="M2" s="107" t="s">
        <v>4</v>
      </c>
      <c r="N2" s="111"/>
      <c r="O2" s="252" t="s">
        <v>75</v>
      </c>
      <c r="P2" s="253"/>
      <c r="Q2" s="252" t="s">
        <v>10</v>
      </c>
      <c r="R2" s="253"/>
      <c r="S2" s="252" t="s">
        <v>38</v>
      </c>
      <c r="T2" s="253"/>
      <c r="AG2" s="112">
        <f>MAX(AG3:AG500)+32-DAY(MAX(AG3:AG500)+32)+1</f>
        <v>43800</v>
      </c>
      <c r="AH2" s="112">
        <f>MAX(AH3:AH500)+32-DAY(MAX(AH3:AH500)+32)+1</f>
        <v>43800</v>
      </c>
      <c r="AI2" s="112">
        <f>MAX(AI3:AI500)+32-DAY(MAX(AI3:AI500)+32)+1</f>
        <v>43831</v>
      </c>
      <c r="AJ2" s="112">
        <f>MAX(AJ3:AJ500)+32-DAY(MAX(AJ3:AJ500)+32)+1</f>
        <v>43831</v>
      </c>
      <c r="AK2" s="112">
        <f>MAX(AK3:AK500)+32-DAY(MAX(AK3:AK500)+32)+1</f>
        <v>43800</v>
      </c>
    </row>
    <row r="3" spans="1:37" ht="15">
      <c r="A3" s="113">
        <v>34516</v>
      </c>
      <c r="B3" s="113" t="e">
        <f>Dados!N23</f>
        <v>#N/A</v>
      </c>
      <c r="C3" s="108" t="e">
        <f aca="true" t="shared" si="0" ref="C3:C66">IF(B3="IPCA-E",I3,IF(B3="INPC",J3,IF(B3="TR",K3,IF(B3="IGP-DI",L3,0))))</f>
        <v>#N/A</v>
      </c>
      <c r="D3" s="114">
        <f>IF(A3&gt;$D$2,0,IF(A3=$D$2,1,D4*(1+C3)))</f>
        <v>0</v>
      </c>
      <c r="E3" s="113" t="e">
        <f>Dados!N63</f>
        <v>#N/A</v>
      </c>
      <c r="F3" s="108" t="e">
        <f>IF(E3="IPCA-E",I3,IF(E3="INPC",J3,IF(E3="TR",K3,IF(E3="IGP-DI",L3,IF(E3="SELIC",M3,N3)))))</f>
        <v>#N/A</v>
      </c>
      <c r="G3" s="114">
        <f>IF(A3&gt;$G$2,0,IF(A3=$G$2,1,G4*(1+F3)))</f>
        <v>0</v>
      </c>
      <c r="H3" s="110">
        <v>3</v>
      </c>
      <c r="I3" s="115">
        <v>0.0521</v>
      </c>
      <c r="J3" s="116">
        <v>0.0775</v>
      </c>
      <c r="K3" s="115">
        <v>0.05026</v>
      </c>
      <c r="L3" s="116">
        <v>0.0547</v>
      </c>
      <c r="M3" s="117">
        <v>0</v>
      </c>
      <c r="N3" s="118">
        <f>IF(A3&gt;Dados!$C$16,0,IF(A3=Dados!$C$16,1,SUMIF($A$3:$A$500,CONCATENATE("&gt;",TEXT(DATEVALUE(TEXT(A3,"dd/mm/aaaa")),0)),$M$3:$M$500)-SUMIF($A$3:$A$500,CONCATENATE("&gt;",TEXT(Dados!$C$16-1,0)),$M$3:$M$500)+1%))</f>
        <v>0</v>
      </c>
      <c r="O3" s="119">
        <v>0.005</v>
      </c>
      <c r="P3" s="120">
        <f aca="true" t="shared" si="1" ref="P3:P66">O4+P4</f>
        <v>1.486042</v>
      </c>
      <c r="Q3" s="119">
        <v>0.01</v>
      </c>
      <c r="R3" s="120">
        <f aca="true" t="shared" si="2" ref="R3:R66">Q4+R4</f>
        <v>2.381042</v>
      </c>
      <c r="S3" s="119">
        <v>0.01</v>
      </c>
      <c r="T3" s="120">
        <f aca="true" t="shared" si="3" ref="T3:T66">S4+T4</f>
        <v>1.911042</v>
      </c>
      <c r="AE3" s="104">
        <v>1</v>
      </c>
      <c r="AG3" s="121">
        <f>IF(OR(L3&lt;&gt;0,AD3=1),$A3,"")</f>
        <v>34516</v>
      </c>
      <c r="AH3" s="121">
        <f>IF(OR(J3&lt;&gt;0,AB3=1),$A3,"")</f>
        <v>34516</v>
      </c>
      <c r="AI3" s="121">
        <f>IF(OR(I3&lt;&gt;0,AA3=1),$A3,"")</f>
        <v>34516</v>
      </c>
      <c r="AJ3" s="121">
        <f>IF(OR(M3&lt;&gt;0,AE3=1),$A3,"")</f>
        <v>34516</v>
      </c>
      <c r="AK3" s="121">
        <f>IF(OR(K3&lt;&gt;0,AC3=1),$A3,"")</f>
        <v>34516</v>
      </c>
    </row>
    <row r="4" spans="1:37" ht="15">
      <c r="A4" s="113">
        <v>34547</v>
      </c>
      <c r="B4" s="113" t="e">
        <f>B3</f>
        <v>#N/A</v>
      </c>
      <c r="C4" s="108" t="e">
        <f t="shared" si="0"/>
        <v>#N/A</v>
      </c>
      <c r="D4" s="114">
        <f aca="true" t="shared" si="4" ref="D4:D67">IF(A4&gt;$D$2,0,IF(A4=$D$2,1,D5*(1+C4)))</f>
        <v>0</v>
      </c>
      <c r="E4" s="114" t="e">
        <f>E3</f>
        <v>#N/A</v>
      </c>
      <c r="F4" s="108" t="e">
        <f aca="true" t="shared" si="5" ref="F4:F67">IF(E4="IPCA-E",I4,IF(E4="INPC",J4,IF(E4="TR",K4,IF(E4="IGP-DI",L4,IF(E4="SELIC",M4,N4)))))</f>
        <v>#N/A</v>
      </c>
      <c r="G4" s="114">
        <f aca="true" t="shared" si="6" ref="G4:G67">IF(A4&gt;$G$2,0,IF(A4=$G$2,1,G5*(1+F4)))</f>
        <v>0</v>
      </c>
      <c r="H4" s="110">
        <v>4</v>
      </c>
      <c r="I4" s="115">
        <v>0.05</v>
      </c>
      <c r="J4" s="116">
        <v>0.0185</v>
      </c>
      <c r="K4" s="115">
        <v>0.021311</v>
      </c>
      <c r="L4" s="116">
        <v>0.0334</v>
      </c>
      <c r="M4" s="117">
        <v>0</v>
      </c>
      <c r="N4" s="118">
        <f>IF(A4&gt;Dados!$C$16,0,IF(A4=Dados!$C$16,1,SUMIF($A$3:$A$500,CONCATENATE("&gt;",TEXT(DATEVALUE(TEXT(A4,"dd/mm/aaaa")),0)),$M$3:$M$500)-SUMIF($A$3:$A$500,CONCATENATE("&gt;",TEXT(Dados!$C$16-1,0)),$M$3:$M$500)+1%))</f>
        <v>0</v>
      </c>
      <c r="O4" s="119">
        <v>0.005</v>
      </c>
      <c r="P4" s="120">
        <f t="shared" si="1"/>
        <v>1.481042</v>
      </c>
      <c r="Q4" s="119">
        <v>0.01</v>
      </c>
      <c r="R4" s="120">
        <f t="shared" si="2"/>
        <v>2.371042</v>
      </c>
      <c r="S4" s="119">
        <v>0.01</v>
      </c>
      <c r="T4" s="120">
        <f t="shared" si="3"/>
        <v>1.901042</v>
      </c>
      <c r="AE4" s="104">
        <v>1</v>
      </c>
      <c r="AG4" s="121">
        <f aca="true" t="shared" si="7" ref="AG4:AG67">IF(OR(L4&lt;&gt;0,AD4=1),$A4,"")</f>
        <v>34547</v>
      </c>
      <c r="AH4" s="121">
        <f aca="true" t="shared" si="8" ref="AH4:AH67">IF(OR(J4&lt;&gt;0,AB4=1),$A4,"")</f>
        <v>34547</v>
      </c>
      <c r="AI4" s="121">
        <f aca="true" t="shared" si="9" ref="AI4:AI67">IF(OR(I4&lt;&gt;0,AA4=1),$A4,"")</f>
        <v>34547</v>
      </c>
      <c r="AJ4" s="121">
        <f aca="true" t="shared" si="10" ref="AJ4:AJ67">IF(OR(M4&lt;&gt;0,AE4=1),$A4,"")</f>
        <v>34547</v>
      </c>
      <c r="AK4" s="121">
        <f aca="true" t="shared" si="11" ref="AK4:AK67">IF(OR(K4&lt;&gt;0,AC4=1),$A4,"")</f>
        <v>34547</v>
      </c>
    </row>
    <row r="5" spans="1:37" ht="15">
      <c r="A5" s="113">
        <v>34578</v>
      </c>
      <c r="B5" s="113" t="e">
        <f aca="true" t="shared" si="12" ref="B5:B24">B4</f>
        <v>#N/A</v>
      </c>
      <c r="C5" s="108" t="e">
        <f t="shared" si="0"/>
        <v>#N/A</v>
      </c>
      <c r="D5" s="114">
        <f t="shared" si="4"/>
        <v>0</v>
      </c>
      <c r="E5" s="114" t="e">
        <f aca="true" t="shared" si="13" ref="E5:E24">E4</f>
        <v>#N/A</v>
      </c>
      <c r="F5" s="108" t="e">
        <f t="shared" si="5"/>
        <v>#N/A</v>
      </c>
      <c r="G5" s="114">
        <f t="shared" si="6"/>
        <v>0</v>
      </c>
      <c r="H5" s="110">
        <v>5</v>
      </c>
      <c r="I5" s="115">
        <v>0.0163</v>
      </c>
      <c r="J5" s="116">
        <v>0.014</v>
      </c>
      <c r="K5" s="115">
        <v>0.024391</v>
      </c>
      <c r="L5" s="116">
        <v>0.0155</v>
      </c>
      <c r="M5" s="117">
        <v>0</v>
      </c>
      <c r="N5" s="118">
        <f>IF(A5&gt;Dados!$C$16,0,IF(A5=Dados!$C$16,1,SUMIF($A$3:$A$500,CONCATENATE("&gt;",TEXT(DATEVALUE(TEXT(A5,"dd/mm/aaaa")),0)),$M$3:$M$500)-SUMIF($A$3:$A$500,CONCATENATE("&gt;",TEXT(Dados!$C$16-1,0)),$M$3:$M$500)+1%))</f>
        <v>0</v>
      </c>
      <c r="O5" s="119">
        <v>0.005</v>
      </c>
      <c r="P5" s="120">
        <f t="shared" si="1"/>
        <v>1.476042</v>
      </c>
      <c r="Q5" s="119">
        <v>0.01</v>
      </c>
      <c r="R5" s="120">
        <f t="shared" si="2"/>
        <v>2.361042</v>
      </c>
      <c r="S5" s="119">
        <v>0.01</v>
      </c>
      <c r="T5" s="120">
        <f t="shared" si="3"/>
        <v>1.891042</v>
      </c>
      <c r="AE5" s="104">
        <v>1</v>
      </c>
      <c r="AG5" s="121">
        <f t="shared" si="7"/>
        <v>34578</v>
      </c>
      <c r="AH5" s="121">
        <f t="shared" si="8"/>
        <v>34578</v>
      </c>
      <c r="AI5" s="121">
        <f t="shared" si="9"/>
        <v>34578</v>
      </c>
      <c r="AJ5" s="121">
        <f t="shared" si="10"/>
        <v>34578</v>
      </c>
      <c r="AK5" s="121">
        <f t="shared" si="11"/>
        <v>34578</v>
      </c>
    </row>
    <row r="6" spans="1:37" ht="15">
      <c r="A6" s="113">
        <v>34608</v>
      </c>
      <c r="B6" s="113" t="e">
        <f t="shared" si="12"/>
        <v>#N/A</v>
      </c>
      <c r="C6" s="108" t="e">
        <f t="shared" si="0"/>
        <v>#N/A</v>
      </c>
      <c r="D6" s="114">
        <f t="shared" si="4"/>
        <v>0</v>
      </c>
      <c r="E6" s="114" t="e">
        <f t="shared" si="13"/>
        <v>#N/A</v>
      </c>
      <c r="F6" s="108" t="e">
        <f t="shared" si="5"/>
        <v>#N/A</v>
      </c>
      <c r="G6" s="114">
        <f t="shared" si="6"/>
        <v>0</v>
      </c>
      <c r="H6" s="110">
        <v>6</v>
      </c>
      <c r="I6" s="115">
        <v>0.019</v>
      </c>
      <c r="J6" s="116">
        <v>0.0282</v>
      </c>
      <c r="K6" s="115">
        <v>0.025551</v>
      </c>
      <c r="L6" s="116">
        <v>0.0255</v>
      </c>
      <c r="M6" s="117">
        <v>0</v>
      </c>
      <c r="N6" s="118">
        <f>IF(A6&gt;Dados!$C$16,0,IF(A6=Dados!$C$16,1,SUMIF($A$3:$A$500,CONCATENATE("&gt;",TEXT(DATEVALUE(TEXT(A6,"dd/mm/aaaa")),0)),$M$3:$M$500)-SUMIF($A$3:$A$500,CONCATENATE("&gt;",TEXT(Dados!$C$16-1,0)),$M$3:$M$500)+1%))</f>
        <v>0</v>
      </c>
      <c r="O6" s="119">
        <v>0.005</v>
      </c>
      <c r="P6" s="120">
        <f t="shared" si="1"/>
        <v>1.471042</v>
      </c>
      <c r="Q6" s="119">
        <v>0.01</v>
      </c>
      <c r="R6" s="120">
        <f t="shared" si="2"/>
        <v>2.351042</v>
      </c>
      <c r="S6" s="119">
        <v>0.01</v>
      </c>
      <c r="T6" s="120">
        <f t="shared" si="3"/>
        <v>1.881042</v>
      </c>
      <c r="AE6" s="104">
        <v>1</v>
      </c>
      <c r="AG6" s="121">
        <f t="shared" si="7"/>
        <v>34608</v>
      </c>
      <c r="AH6" s="121">
        <f t="shared" si="8"/>
        <v>34608</v>
      </c>
      <c r="AI6" s="121">
        <f t="shared" si="9"/>
        <v>34608</v>
      </c>
      <c r="AJ6" s="121">
        <f t="shared" si="10"/>
        <v>34608</v>
      </c>
      <c r="AK6" s="121">
        <f t="shared" si="11"/>
        <v>34608</v>
      </c>
    </row>
    <row r="7" spans="1:37" ht="15">
      <c r="A7" s="113">
        <v>34639</v>
      </c>
      <c r="B7" s="113" t="e">
        <f t="shared" si="12"/>
        <v>#N/A</v>
      </c>
      <c r="C7" s="108" t="e">
        <f t="shared" si="0"/>
        <v>#N/A</v>
      </c>
      <c r="D7" s="114">
        <f t="shared" si="4"/>
        <v>0</v>
      </c>
      <c r="E7" s="114" t="e">
        <f t="shared" si="13"/>
        <v>#N/A</v>
      </c>
      <c r="F7" s="108" t="e">
        <f t="shared" si="5"/>
        <v>#N/A</v>
      </c>
      <c r="G7" s="114">
        <f t="shared" si="6"/>
        <v>0</v>
      </c>
      <c r="H7" s="110">
        <v>7</v>
      </c>
      <c r="I7" s="115">
        <v>0.0295</v>
      </c>
      <c r="J7" s="116">
        <v>0.0296</v>
      </c>
      <c r="K7" s="115">
        <v>0.02921</v>
      </c>
      <c r="L7" s="116">
        <v>0.0247</v>
      </c>
      <c r="M7" s="117">
        <v>0</v>
      </c>
      <c r="N7" s="118">
        <f>IF(A7&gt;Dados!$C$16,0,IF(A7=Dados!$C$16,1,SUMIF($A$3:$A$500,CONCATENATE("&gt;",TEXT(DATEVALUE(TEXT(A7,"dd/mm/aaaa")),0)),$M$3:$M$500)-SUMIF($A$3:$A$500,CONCATENATE("&gt;",TEXT(Dados!$C$16-1,0)),$M$3:$M$500)+1%))</f>
        <v>0</v>
      </c>
      <c r="O7" s="119">
        <v>0.005</v>
      </c>
      <c r="P7" s="120">
        <f t="shared" si="1"/>
        <v>1.466042</v>
      </c>
      <c r="Q7" s="119">
        <v>0.01</v>
      </c>
      <c r="R7" s="120">
        <f t="shared" si="2"/>
        <v>2.341042</v>
      </c>
      <c r="S7" s="119">
        <v>0.01</v>
      </c>
      <c r="T7" s="120">
        <f t="shared" si="3"/>
        <v>1.871042</v>
      </c>
      <c r="AE7" s="104">
        <v>1</v>
      </c>
      <c r="AG7" s="121">
        <f t="shared" si="7"/>
        <v>34639</v>
      </c>
      <c r="AH7" s="121">
        <f t="shared" si="8"/>
        <v>34639</v>
      </c>
      <c r="AI7" s="121">
        <f t="shared" si="9"/>
        <v>34639</v>
      </c>
      <c r="AJ7" s="121">
        <f t="shared" si="10"/>
        <v>34639</v>
      </c>
      <c r="AK7" s="121">
        <f t="shared" si="11"/>
        <v>34639</v>
      </c>
    </row>
    <row r="8" spans="1:37" ht="15">
      <c r="A8" s="113">
        <v>34669</v>
      </c>
      <c r="B8" s="113" t="e">
        <f t="shared" si="12"/>
        <v>#N/A</v>
      </c>
      <c r="C8" s="108" t="e">
        <f t="shared" si="0"/>
        <v>#N/A</v>
      </c>
      <c r="D8" s="114">
        <f t="shared" si="4"/>
        <v>0</v>
      </c>
      <c r="E8" s="114" t="e">
        <f t="shared" si="13"/>
        <v>#N/A</v>
      </c>
      <c r="F8" s="108" t="e">
        <f t="shared" si="5"/>
        <v>#N/A</v>
      </c>
      <c r="G8" s="114">
        <f t="shared" si="6"/>
        <v>0</v>
      </c>
      <c r="H8" s="110">
        <v>8</v>
      </c>
      <c r="I8" s="115">
        <v>0.0225</v>
      </c>
      <c r="J8" s="116">
        <v>0.017</v>
      </c>
      <c r="K8" s="115">
        <v>0.028731</v>
      </c>
      <c r="L8" s="116">
        <v>0.0057</v>
      </c>
      <c r="M8" s="117">
        <v>0</v>
      </c>
      <c r="N8" s="118">
        <f>IF(A8&gt;Dados!$C$16,0,IF(A8=Dados!$C$16,1,SUMIF($A$3:$A$500,CONCATENATE("&gt;",TEXT(DATEVALUE(TEXT(A8,"dd/mm/aaaa")),0)),$M$3:$M$500)-SUMIF($A$3:$A$500,CONCATENATE("&gt;",TEXT(Dados!$C$16-1,0)),$M$3:$M$500)+1%))</f>
        <v>0</v>
      </c>
      <c r="O8" s="119">
        <v>0.005</v>
      </c>
      <c r="P8" s="120">
        <f t="shared" si="1"/>
        <v>1.461042</v>
      </c>
      <c r="Q8" s="119">
        <v>0.01</v>
      </c>
      <c r="R8" s="120">
        <f t="shared" si="2"/>
        <v>2.331042</v>
      </c>
      <c r="S8" s="119">
        <v>0.01</v>
      </c>
      <c r="T8" s="120">
        <f t="shared" si="3"/>
        <v>1.861042</v>
      </c>
      <c r="AE8" s="104">
        <v>1</v>
      </c>
      <c r="AG8" s="121">
        <f t="shared" si="7"/>
        <v>34669</v>
      </c>
      <c r="AH8" s="121">
        <f t="shared" si="8"/>
        <v>34669</v>
      </c>
      <c r="AI8" s="121">
        <f t="shared" si="9"/>
        <v>34669</v>
      </c>
      <c r="AJ8" s="121">
        <f t="shared" si="10"/>
        <v>34669</v>
      </c>
      <c r="AK8" s="121">
        <f t="shared" si="11"/>
        <v>34669</v>
      </c>
    </row>
    <row r="9" spans="1:37" ht="15">
      <c r="A9" s="113">
        <v>34700</v>
      </c>
      <c r="B9" s="113" t="e">
        <f t="shared" si="12"/>
        <v>#N/A</v>
      </c>
      <c r="C9" s="108" t="e">
        <f t="shared" si="0"/>
        <v>#N/A</v>
      </c>
      <c r="D9" s="114">
        <f t="shared" si="4"/>
        <v>0</v>
      </c>
      <c r="E9" s="114" t="e">
        <f t="shared" si="13"/>
        <v>#N/A</v>
      </c>
      <c r="F9" s="108" t="e">
        <f t="shared" si="5"/>
        <v>#N/A</v>
      </c>
      <c r="G9" s="114">
        <f t="shared" si="6"/>
        <v>0</v>
      </c>
      <c r="H9" s="110">
        <v>9</v>
      </c>
      <c r="I9" s="115">
        <v>0.0178</v>
      </c>
      <c r="J9" s="116">
        <v>0.0144</v>
      </c>
      <c r="K9" s="115">
        <v>0.021013</v>
      </c>
      <c r="L9" s="116">
        <v>0.0136</v>
      </c>
      <c r="M9" s="117">
        <v>0</v>
      </c>
      <c r="N9" s="118">
        <f>IF(A9&gt;Dados!$C$16,0,IF(A9=Dados!$C$16,1,SUMIF($A$3:$A$500,CONCATENATE("&gt;",TEXT(DATEVALUE(TEXT(A9,"dd/mm/aaaa")),0)),$M$3:$M$500)-SUMIF($A$3:$A$500,CONCATENATE("&gt;",TEXT(Dados!$C$16-1,0)),$M$3:$M$500)+1%))</f>
        <v>0</v>
      </c>
      <c r="O9" s="119">
        <v>0.005</v>
      </c>
      <c r="P9" s="120">
        <f t="shared" si="1"/>
        <v>1.456042</v>
      </c>
      <c r="Q9" s="119">
        <v>0.01</v>
      </c>
      <c r="R9" s="120">
        <f t="shared" si="2"/>
        <v>2.321042</v>
      </c>
      <c r="S9" s="119">
        <v>0.01</v>
      </c>
      <c r="T9" s="120">
        <f t="shared" si="3"/>
        <v>1.851042</v>
      </c>
      <c r="AE9" s="104">
        <v>1</v>
      </c>
      <c r="AG9" s="121">
        <f t="shared" si="7"/>
        <v>34700</v>
      </c>
      <c r="AH9" s="121">
        <f t="shared" si="8"/>
        <v>34700</v>
      </c>
      <c r="AI9" s="121">
        <f t="shared" si="9"/>
        <v>34700</v>
      </c>
      <c r="AJ9" s="121">
        <f t="shared" si="10"/>
        <v>34700</v>
      </c>
      <c r="AK9" s="121">
        <f t="shared" si="11"/>
        <v>34700</v>
      </c>
    </row>
    <row r="10" spans="1:37" ht="15">
      <c r="A10" s="113">
        <v>34731</v>
      </c>
      <c r="B10" s="113" t="e">
        <f t="shared" si="12"/>
        <v>#N/A</v>
      </c>
      <c r="C10" s="108" t="e">
        <f t="shared" si="0"/>
        <v>#N/A</v>
      </c>
      <c r="D10" s="114">
        <f t="shared" si="4"/>
        <v>0</v>
      </c>
      <c r="E10" s="114" t="e">
        <f t="shared" si="13"/>
        <v>#N/A</v>
      </c>
      <c r="F10" s="108" t="e">
        <f t="shared" si="5"/>
        <v>#N/A</v>
      </c>
      <c r="G10" s="114">
        <f t="shared" si="6"/>
        <v>0</v>
      </c>
      <c r="H10" s="110">
        <v>10</v>
      </c>
      <c r="I10" s="115">
        <v>0.0122</v>
      </c>
      <c r="J10" s="116">
        <v>0.0101</v>
      </c>
      <c r="K10" s="115">
        <v>0.018531</v>
      </c>
      <c r="L10" s="116">
        <v>0.0115</v>
      </c>
      <c r="M10" s="117">
        <v>0.0363</v>
      </c>
      <c r="N10" s="118">
        <f>IF(A10&gt;Dados!$C$16,0,IF(A10=Dados!$C$16,1,SUMIF($A$3:$A$500,CONCATENATE("&gt;",TEXT(DATEVALUE(TEXT(A10,"dd/mm/aaaa")),0)),$M$3:$M$500)-SUMIF($A$3:$A$500,CONCATENATE("&gt;",TEXT(Dados!$C$16-1,0)),$M$3:$M$500)+1%))</f>
        <v>0</v>
      </c>
      <c r="O10" s="119">
        <v>0.005</v>
      </c>
      <c r="P10" s="120">
        <f t="shared" si="1"/>
        <v>1.451042</v>
      </c>
      <c r="Q10" s="119">
        <v>0.01</v>
      </c>
      <c r="R10" s="120">
        <f t="shared" si="2"/>
        <v>2.311042</v>
      </c>
      <c r="S10" s="119">
        <v>0.01</v>
      </c>
      <c r="T10" s="120">
        <f t="shared" si="3"/>
        <v>1.841042</v>
      </c>
      <c r="AG10" s="121">
        <f t="shared" si="7"/>
        <v>34731</v>
      </c>
      <c r="AH10" s="121">
        <f t="shared" si="8"/>
        <v>34731</v>
      </c>
      <c r="AI10" s="121">
        <f t="shared" si="9"/>
        <v>34731</v>
      </c>
      <c r="AJ10" s="121">
        <f t="shared" si="10"/>
        <v>34731</v>
      </c>
      <c r="AK10" s="121">
        <f t="shared" si="11"/>
        <v>34731</v>
      </c>
    </row>
    <row r="11" spans="1:37" ht="15">
      <c r="A11" s="113">
        <v>34759</v>
      </c>
      <c r="B11" s="113" t="e">
        <f t="shared" si="12"/>
        <v>#N/A</v>
      </c>
      <c r="C11" s="108" t="e">
        <f t="shared" si="0"/>
        <v>#N/A</v>
      </c>
      <c r="D11" s="114">
        <f t="shared" si="4"/>
        <v>0</v>
      </c>
      <c r="E11" s="114" t="e">
        <f t="shared" si="13"/>
        <v>#N/A</v>
      </c>
      <c r="F11" s="108" t="e">
        <f t="shared" si="5"/>
        <v>#N/A</v>
      </c>
      <c r="G11" s="114">
        <f t="shared" si="6"/>
        <v>0</v>
      </c>
      <c r="H11" s="110">
        <v>11</v>
      </c>
      <c r="I11" s="115">
        <v>0.0128</v>
      </c>
      <c r="J11" s="116">
        <v>0.0162</v>
      </c>
      <c r="K11" s="115">
        <v>0.022998</v>
      </c>
      <c r="L11" s="116">
        <v>0.0181</v>
      </c>
      <c r="M11" s="117">
        <v>0.026</v>
      </c>
      <c r="N11" s="118">
        <f>IF(A11&gt;Dados!$C$16,0,IF(A11=Dados!$C$16,1,SUMIF($A$3:$A$500,CONCATENATE("&gt;",TEXT(DATEVALUE(TEXT(A11,"dd/mm/aaaa")),0)),$M$3:$M$500)-SUMIF($A$3:$A$500,CONCATENATE("&gt;",TEXT(Dados!$C$16-1,0)),$M$3:$M$500)+1%))</f>
        <v>0</v>
      </c>
      <c r="O11" s="119">
        <v>0.005</v>
      </c>
      <c r="P11" s="120">
        <f t="shared" si="1"/>
        <v>1.446042</v>
      </c>
      <c r="Q11" s="119">
        <v>0.01</v>
      </c>
      <c r="R11" s="120">
        <f t="shared" si="2"/>
        <v>2.301042</v>
      </c>
      <c r="S11" s="119">
        <v>0.01</v>
      </c>
      <c r="T11" s="120">
        <f t="shared" si="3"/>
        <v>1.831042</v>
      </c>
      <c r="AG11" s="121">
        <f t="shared" si="7"/>
        <v>34759</v>
      </c>
      <c r="AH11" s="121">
        <f t="shared" si="8"/>
        <v>34759</v>
      </c>
      <c r="AI11" s="121">
        <f t="shared" si="9"/>
        <v>34759</v>
      </c>
      <c r="AJ11" s="121">
        <f t="shared" si="10"/>
        <v>34759</v>
      </c>
      <c r="AK11" s="121">
        <f t="shared" si="11"/>
        <v>34759</v>
      </c>
    </row>
    <row r="12" spans="1:37" ht="15">
      <c r="A12" s="113">
        <v>34790</v>
      </c>
      <c r="B12" s="113" t="e">
        <f t="shared" si="12"/>
        <v>#N/A</v>
      </c>
      <c r="C12" s="108" t="e">
        <f t="shared" si="0"/>
        <v>#N/A</v>
      </c>
      <c r="D12" s="114">
        <f t="shared" si="4"/>
        <v>0</v>
      </c>
      <c r="E12" s="114" t="e">
        <f t="shared" si="13"/>
        <v>#N/A</v>
      </c>
      <c r="F12" s="108" t="e">
        <f t="shared" si="5"/>
        <v>#N/A</v>
      </c>
      <c r="G12" s="114">
        <f t="shared" si="6"/>
        <v>0</v>
      </c>
      <c r="H12" s="110">
        <v>12</v>
      </c>
      <c r="I12" s="115">
        <v>0.0195</v>
      </c>
      <c r="J12" s="116">
        <v>0.0249</v>
      </c>
      <c r="K12" s="115">
        <v>0.034667</v>
      </c>
      <c r="L12" s="116">
        <v>0.023</v>
      </c>
      <c r="M12" s="117">
        <v>0.0426</v>
      </c>
      <c r="N12" s="118">
        <f>IF(A12&gt;Dados!$C$16,0,IF(A12=Dados!$C$16,1,SUMIF($A$3:$A$500,CONCATENATE("&gt;",TEXT(DATEVALUE(TEXT(A12,"dd/mm/aaaa")),0)),$M$3:$M$500)-SUMIF($A$3:$A$500,CONCATENATE("&gt;",TEXT(Dados!$C$16-1,0)),$M$3:$M$500)+1%))</f>
        <v>0</v>
      </c>
      <c r="O12" s="119">
        <v>0.005</v>
      </c>
      <c r="P12" s="120">
        <f t="shared" si="1"/>
        <v>1.441042</v>
      </c>
      <c r="Q12" s="119">
        <v>0.01</v>
      </c>
      <c r="R12" s="120">
        <f t="shared" si="2"/>
        <v>2.291042</v>
      </c>
      <c r="S12" s="119">
        <v>0.01</v>
      </c>
      <c r="T12" s="120">
        <f t="shared" si="3"/>
        <v>1.821042</v>
      </c>
      <c r="AG12" s="121">
        <f t="shared" si="7"/>
        <v>34790</v>
      </c>
      <c r="AH12" s="121">
        <f t="shared" si="8"/>
        <v>34790</v>
      </c>
      <c r="AI12" s="121">
        <f t="shared" si="9"/>
        <v>34790</v>
      </c>
      <c r="AJ12" s="121">
        <f t="shared" si="10"/>
        <v>34790</v>
      </c>
      <c r="AK12" s="121">
        <f t="shared" si="11"/>
        <v>34790</v>
      </c>
    </row>
    <row r="13" spans="1:37" ht="15">
      <c r="A13" s="113">
        <v>34820</v>
      </c>
      <c r="B13" s="113" t="e">
        <f t="shared" si="12"/>
        <v>#N/A</v>
      </c>
      <c r="C13" s="108" t="e">
        <f t="shared" si="0"/>
        <v>#N/A</v>
      </c>
      <c r="D13" s="114">
        <f t="shared" si="4"/>
        <v>0</v>
      </c>
      <c r="E13" s="114" t="e">
        <f t="shared" si="13"/>
        <v>#N/A</v>
      </c>
      <c r="F13" s="108" t="e">
        <f t="shared" si="5"/>
        <v>#N/A</v>
      </c>
      <c r="G13" s="114">
        <f t="shared" si="6"/>
        <v>0</v>
      </c>
      <c r="H13" s="110">
        <v>13</v>
      </c>
      <c r="I13" s="115">
        <v>0.0277</v>
      </c>
      <c r="J13" s="116">
        <v>0.021</v>
      </c>
      <c r="K13" s="115">
        <v>0.032471</v>
      </c>
      <c r="L13" s="116">
        <v>0.004</v>
      </c>
      <c r="M13" s="117">
        <v>0.0425</v>
      </c>
      <c r="N13" s="118">
        <f>IF(A13&gt;Dados!$C$16,0,IF(A13=Dados!$C$16,1,SUMIF($A$3:$A$500,CONCATENATE("&gt;",TEXT(DATEVALUE(TEXT(A13,"dd/mm/aaaa")),0)),$M$3:$M$500)-SUMIF($A$3:$A$500,CONCATENATE("&gt;",TEXT(Dados!$C$16-1,0)),$M$3:$M$500)+1%))</f>
        <v>0</v>
      </c>
      <c r="O13" s="119">
        <v>0.005</v>
      </c>
      <c r="P13" s="120">
        <f t="shared" si="1"/>
        <v>1.436042</v>
      </c>
      <c r="Q13" s="119">
        <v>0.01</v>
      </c>
      <c r="R13" s="120">
        <f t="shared" si="2"/>
        <v>2.281042</v>
      </c>
      <c r="S13" s="119">
        <v>0.01</v>
      </c>
      <c r="T13" s="120">
        <f t="shared" si="3"/>
        <v>1.811042</v>
      </c>
      <c r="AG13" s="121">
        <f t="shared" si="7"/>
        <v>34820</v>
      </c>
      <c r="AH13" s="121">
        <f t="shared" si="8"/>
        <v>34820</v>
      </c>
      <c r="AI13" s="121">
        <f t="shared" si="9"/>
        <v>34820</v>
      </c>
      <c r="AJ13" s="121">
        <f t="shared" si="10"/>
        <v>34820</v>
      </c>
      <c r="AK13" s="121">
        <f t="shared" si="11"/>
        <v>34820</v>
      </c>
    </row>
    <row r="14" spans="1:37" ht="15">
      <c r="A14" s="113">
        <v>34851</v>
      </c>
      <c r="B14" s="113" t="e">
        <f t="shared" si="12"/>
        <v>#N/A</v>
      </c>
      <c r="C14" s="108" t="e">
        <f t="shared" si="0"/>
        <v>#N/A</v>
      </c>
      <c r="D14" s="114">
        <f t="shared" si="4"/>
        <v>0</v>
      </c>
      <c r="E14" s="114" t="e">
        <f t="shared" si="13"/>
        <v>#N/A</v>
      </c>
      <c r="F14" s="108" t="e">
        <f t="shared" si="5"/>
        <v>#N/A</v>
      </c>
      <c r="G14" s="114">
        <f t="shared" si="6"/>
        <v>0</v>
      </c>
      <c r="H14" s="110">
        <v>14</v>
      </c>
      <c r="I14" s="115">
        <v>0.0225</v>
      </c>
      <c r="J14" s="116">
        <v>0.0218</v>
      </c>
      <c r="K14" s="115">
        <v>0.028863</v>
      </c>
      <c r="L14" s="116">
        <v>0.0262</v>
      </c>
      <c r="M14" s="117">
        <v>0.0404</v>
      </c>
      <c r="N14" s="118">
        <f>IF(A14&gt;Dados!$C$16,0,IF(A14=Dados!$C$16,1,SUMIF($A$3:$A$500,CONCATENATE("&gt;",TEXT(DATEVALUE(TEXT(A14,"dd/mm/aaaa")),0)),$M$3:$M$500)-SUMIF($A$3:$A$500,CONCATENATE("&gt;",TEXT(Dados!$C$16-1,0)),$M$3:$M$500)+1%))</f>
        <v>0</v>
      </c>
      <c r="O14" s="119">
        <v>0.005</v>
      </c>
      <c r="P14" s="120">
        <f t="shared" si="1"/>
        <v>1.431042</v>
      </c>
      <c r="Q14" s="119">
        <v>0.01</v>
      </c>
      <c r="R14" s="120">
        <f t="shared" si="2"/>
        <v>2.271042</v>
      </c>
      <c r="S14" s="119">
        <v>0.01</v>
      </c>
      <c r="T14" s="120">
        <f t="shared" si="3"/>
        <v>1.801042</v>
      </c>
      <c r="AG14" s="121">
        <f t="shared" si="7"/>
        <v>34851</v>
      </c>
      <c r="AH14" s="121">
        <f t="shared" si="8"/>
        <v>34851</v>
      </c>
      <c r="AI14" s="121">
        <f t="shared" si="9"/>
        <v>34851</v>
      </c>
      <c r="AJ14" s="121">
        <f t="shared" si="10"/>
        <v>34851</v>
      </c>
      <c r="AK14" s="121">
        <f t="shared" si="11"/>
        <v>34851</v>
      </c>
    </row>
    <row r="15" spans="1:37" ht="15">
      <c r="A15" s="113">
        <v>34881</v>
      </c>
      <c r="B15" s="113" t="e">
        <f t="shared" si="12"/>
        <v>#N/A</v>
      </c>
      <c r="C15" s="108" t="e">
        <f t="shared" si="0"/>
        <v>#N/A</v>
      </c>
      <c r="D15" s="114">
        <f t="shared" si="4"/>
        <v>0</v>
      </c>
      <c r="E15" s="114" t="e">
        <f t="shared" si="13"/>
        <v>#N/A</v>
      </c>
      <c r="F15" s="108" t="e">
        <f t="shared" si="5"/>
        <v>#N/A</v>
      </c>
      <c r="G15" s="114">
        <f t="shared" si="6"/>
        <v>0</v>
      </c>
      <c r="H15" s="110">
        <v>15</v>
      </c>
      <c r="I15" s="115">
        <v>0.0259</v>
      </c>
      <c r="J15" s="116">
        <v>0.0246</v>
      </c>
      <c r="K15" s="115">
        <v>0.029905</v>
      </c>
      <c r="L15" s="116">
        <v>0.0224</v>
      </c>
      <c r="M15" s="117">
        <v>0.0402</v>
      </c>
      <c r="N15" s="118">
        <f>IF(A15&gt;Dados!$C$16,0,IF(A15=Dados!$C$16,1,SUMIF($A$3:$A$500,CONCATENATE("&gt;",TEXT(DATEVALUE(TEXT(A15,"dd/mm/aaaa")),0)),$M$3:$M$500)-SUMIF($A$3:$A$500,CONCATENATE("&gt;",TEXT(Dados!$C$16-1,0)),$M$3:$M$500)+1%))</f>
        <v>0</v>
      </c>
      <c r="O15" s="119">
        <v>0.005</v>
      </c>
      <c r="P15" s="120">
        <f t="shared" si="1"/>
        <v>1.426042</v>
      </c>
      <c r="Q15" s="119">
        <v>0.01</v>
      </c>
      <c r="R15" s="120">
        <f t="shared" si="2"/>
        <v>2.261042</v>
      </c>
      <c r="S15" s="119">
        <v>0.01</v>
      </c>
      <c r="T15" s="120">
        <f t="shared" si="3"/>
        <v>1.791042</v>
      </c>
      <c r="AG15" s="121">
        <f t="shared" si="7"/>
        <v>34881</v>
      </c>
      <c r="AH15" s="121">
        <f t="shared" si="8"/>
        <v>34881</v>
      </c>
      <c r="AI15" s="121">
        <f t="shared" si="9"/>
        <v>34881</v>
      </c>
      <c r="AJ15" s="121">
        <f t="shared" si="10"/>
        <v>34881</v>
      </c>
      <c r="AK15" s="121">
        <f t="shared" si="11"/>
        <v>34881</v>
      </c>
    </row>
    <row r="16" spans="1:37" ht="15">
      <c r="A16" s="113">
        <v>34912</v>
      </c>
      <c r="B16" s="113" t="e">
        <f t="shared" si="12"/>
        <v>#N/A</v>
      </c>
      <c r="C16" s="108" t="e">
        <f t="shared" si="0"/>
        <v>#N/A</v>
      </c>
      <c r="D16" s="114">
        <f t="shared" si="4"/>
        <v>0</v>
      </c>
      <c r="E16" s="114" t="e">
        <f t="shared" si="13"/>
        <v>#N/A</v>
      </c>
      <c r="F16" s="108" t="e">
        <f t="shared" si="5"/>
        <v>#N/A</v>
      </c>
      <c r="G16" s="114">
        <f t="shared" si="6"/>
        <v>0</v>
      </c>
      <c r="H16" s="110">
        <v>16</v>
      </c>
      <c r="I16" s="115">
        <v>0.0149</v>
      </c>
      <c r="J16" s="116">
        <v>0.0102</v>
      </c>
      <c r="K16" s="115">
        <v>0.026045</v>
      </c>
      <c r="L16" s="116">
        <v>0.0129</v>
      </c>
      <c r="M16" s="117">
        <v>0.0384</v>
      </c>
      <c r="N16" s="118">
        <f>IF(A16&gt;Dados!$C$16,0,IF(A16=Dados!$C$16,1,SUMIF($A$3:$A$500,CONCATENATE("&gt;",TEXT(DATEVALUE(TEXT(A16,"dd/mm/aaaa")),0)),$M$3:$M$500)-SUMIF($A$3:$A$500,CONCATENATE("&gt;",TEXT(Dados!$C$16-1,0)),$M$3:$M$500)+1%))</f>
        <v>0</v>
      </c>
      <c r="O16" s="119">
        <v>0.005</v>
      </c>
      <c r="P16" s="120">
        <f t="shared" si="1"/>
        <v>1.421042</v>
      </c>
      <c r="Q16" s="119">
        <v>0.01</v>
      </c>
      <c r="R16" s="120">
        <f t="shared" si="2"/>
        <v>2.251042</v>
      </c>
      <c r="S16" s="119">
        <v>0.01</v>
      </c>
      <c r="T16" s="120">
        <f t="shared" si="3"/>
        <v>1.781042</v>
      </c>
      <c r="AG16" s="121">
        <f t="shared" si="7"/>
        <v>34912</v>
      </c>
      <c r="AH16" s="121">
        <f t="shared" si="8"/>
        <v>34912</v>
      </c>
      <c r="AI16" s="121">
        <f t="shared" si="9"/>
        <v>34912</v>
      </c>
      <c r="AJ16" s="121">
        <f t="shared" si="10"/>
        <v>34912</v>
      </c>
      <c r="AK16" s="121">
        <f t="shared" si="11"/>
        <v>34912</v>
      </c>
    </row>
    <row r="17" spans="1:37" ht="15">
      <c r="A17" s="113">
        <v>34943</v>
      </c>
      <c r="B17" s="113" t="e">
        <f t="shared" si="12"/>
        <v>#N/A</v>
      </c>
      <c r="C17" s="108" t="e">
        <f t="shared" si="0"/>
        <v>#N/A</v>
      </c>
      <c r="D17" s="114">
        <f t="shared" si="4"/>
        <v>0</v>
      </c>
      <c r="E17" s="114" t="e">
        <f t="shared" si="13"/>
        <v>#N/A</v>
      </c>
      <c r="F17" s="108" t="e">
        <f t="shared" si="5"/>
        <v>#N/A</v>
      </c>
      <c r="G17" s="114">
        <f t="shared" si="6"/>
        <v>0</v>
      </c>
      <c r="H17" s="110">
        <v>17</v>
      </c>
      <c r="I17" s="115">
        <v>0.0097</v>
      </c>
      <c r="J17" s="116">
        <v>0.0117</v>
      </c>
      <c r="K17" s="115">
        <v>0.019393</v>
      </c>
      <c r="L17" s="116">
        <v>-0.0108</v>
      </c>
      <c r="M17" s="117">
        <v>0.0332</v>
      </c>
      <c r="N17" s="118">
        <f>IF(A17&gt;Dados!$C$16,0,IF(A17=Dados!$C$16,1,SUMIF($A$3:$A$500,CONCATENATE("&gt;",TEXT(DATEVALUE(TEXT(A17,"dd/mm/aaaa")),0)),$M$3:$M$500)-SUMIF($A$3:$A$500,CONCATENATE("&gt;",TEXT(Dados!$C$16-1,0)),$M$3:$M$500)+1%))</f>
        <v>0</v>
      </c>
      <c r="O17" s="119">
        <v>0.005</v>
      </c>
      <c r="P17" s="120">
        <f t="shared" si="1"/>
        <v>1.416042</v>
      </c>
      <c r="Q17" s="119">
        <v>0.01</v>
      </c>
      <c r="R17" s="120">
        <f t="shared" si="2"/>
        <v>2.241042</v>
      </c>
      <c r="S17" s="119">
        <v>0.01</v>
      </c>
      <c r="T17" s="120">
        <f t="shared" si="3"/>
        <v>1.771042</v>
      </c>
      <c r="AG17" s="121">
        <f t="shared" si="7"/>
        <v>34943</v>
      </c>
      <c r="AH17" s="121">
        <f t="shared" si="8"/>
        <v>34943</v>
      </c>
      <c r="AI17" s="121">
        <f t="shared" si="9"/>
        <v>34943</v>
      </c>
      <c r="AJ17" s="121">
        <f t="shared" si="10"/>
        <v>34943</v>
      </c>
      <c r="AK17" s="121">
        <f t="shared" si="11"/>
        <v>34943</v>
      </c>
    </row>
    <row r="18" spans="1:37" ht="15">
      <c r="A18" s="113">
        <v>34973</v>
      </c>
      <c r="B18" s="113" t="e">
        <f t="shared" si="12"/>
        <v>#N/A</v>
      </c>
      <c r="C18" s="108" t="e">
        <f t="shared" si="0"/>
        <v>#N/A</v>
      </c>
      <c r="D18" s="114">
        <f t="shared" si="4"/>
        <v>0</v>
      </c>
      <c r="E18" s="114" t="e">
        <f t="shared" si="13"/>
        <v>#N/A</v>
      </c>
      <c r="F18" s="108" t="e">
        <f t="shared" si="5"/>
        <v>#N/A</v>
      </c>
      <c r="G18" s="114">
        <f t="shared" si="6"/>
        <v>0</v>
      </c>
      <c r="H18" s="110">
        <v>18</v>
      </c>
      <c r="I18" s="115">
        <v>0.0134</v>
      </c>
      <c r="J18" s="116">
        <v>0.014</v>
      </c>
      <c r="K18" s="115">
        <v>0.01654</v>
      </c>
      <c r="L18" s="116">
        <v>0.0023</v>
      </c>
      <c r="M18" s="117">
        <v>0.0309</v>
      </c>
      <c r="N18" s="118">
        <f>IF(A18&gt;Dados!$C$16,0,IF(A18=Dados!$C$16,1,SUMIF($A$3:$A$500,CONCATENATE("&gt;",TEXT(DATEVALUE(TEXT(A18,"dd/mm/aaaa")),0)),$M$3:$M$500)-SUMIF($A$3:$A$500,CONCATENATE("&gt;",TEXT(Dados!$C$16-1,0)),$M$3:$M$500)+1%))</f>
        <v>0</v>
      </c>
      <c r="O18" s="119">
        <v>0.005</v>
      </c>
      <c r="P18" s="120">
        <f t="shared" si="1"/>
        <v>1.411042</v>
      </c>
      <c r="Q18" s="119">
        <v>0.01</v>
      </c>
      <c r="R18" s="120">
        <f t="shared" si="2"/>
        <v>2.231042</v>
      </c>
      <c r="S18" s="119">
        <v>0.01</v>
      </c>
      <c r="T18" s="120">
        <f t="shared" si="3"/>
        <v>1.761042</v>
      </c>
      <c r="AG18" s="121">
        <f t="shared" si="7"/>
        <v>34973</v>
      </c>
      <c r="AH18" s="121">
        <f t="shared" si="8"/>
        <v>34973</v>
      </c>
      <c r="AI18" s="121">
        <f t="shared" si="9"/>
        <v>34973</v>
      </c>
      <c r="AJ18" s="121">
        <f t="shared" si="10"/>
        <v>34973</v>
      </c>
      <c r="AK18" s="121">
        <f t="shared" si="11"/>
        <v>34973</v>
      </c>
    </row>
    <row r="19" spans="1:37" ht="15">
      <c r="A19" s="113">
        <v>35004</v>
      </c>
      <c r="B19" s="113" t="e">
        <f t="shared" si="12"/>
        <v>#N/A</v>
      </c>
      <c r="C19" s="108" t="e">
        <f t="shared" si="0"/>
        <v>#N/A</v>
      </c>
      <c r="D19" s="114">
        <f t="shared" si="4"/>
        <v>0</v>
      </c>
      <c r="E19" s="114" t="e">
        <f t="shared" si="13"/>
        <v>#N/A</v>
      </c>
      <c r="F19" s="108" t="e">
        <f t="shared" si="5"/>
        <v>#N/A</v>
      </c>
      <c r="G19" s="114">
        <f t="shared" si="6"/>
        <v>0</v>
      </c>
      <c r="H19" s="110">
        <v>19</v>
      </c>
      <c r="I19" s="115">
        <v>0.0146</v>
      </c>
      <c r="J19" s="116">
        <v>0.0151</v>
      </c>
      <c r="K19" s="115">
        <v>0.014387</v>
      </c>
      <c r="L19" s="116">
        <v>0.0133</v>
      </c>
      <c r="M19" s="117">
        <v>0.0288</v>
      </c>
      <c r="N19" s="118">
        <f>IF(A19&gt;Dados!$C$16,0,IF(A19=Dados!$C$16,1,SUMIF($A$3:$A$500,CONCATENATE("&gt;",TEXT(DATEVALUE(TEXT(A19,"dd/mm/aaaa")),0)),$M$3:$M$500)-SUMIF($A$3:$A$500,CONCATENATE("&gt;",TEXT(Dados!$C$16-1,0)),$M$3:$M$500)+1%))</f>
        <v>0</v>
      </c>
      <c r="O19" s="119">
        <v>0.005</v>
      </c>
      <c r="P19" s="120">
        <f t="shared" si="1"/>
        <v>1.406042</v>
      </c>
      <c r="Q19" s="119">
        <v>0.01</v>
      </c>
      <c r="R19" s="120">
        <f t="shared" si="2"/>
        <v>2.221042</v>
      </c>
      <c r="S19" s="119">
        <v>0.01</v>
      </c>
      <c r="T19" s="120">
        <f t="shared" si="3"/>
        <v>1.751042</v>
      </c>
      <c r="AG19" s="121">
        <f t="shared" si="7"/>
        <v>35004</v>
      </c>
      <c r="AH19" s="121">
        <f t="shared" si="8"/>
        <v>35004</v>
      </c>
      <c r="AI19" s="121">
        <f t="shared" si="9"/>
        <v>35004</v>
      </c>
      <c r="AJ19" s="121">
        <f t="shared" si="10"/>
        <v>35004</v>
      </c>
      <c r="AK19" s="121">
        <f t="shared" si="11"/>
        <v>35004</v>
      </c>
    </row>
    <row r="20" spans="1:37" ht="15">
      <c r="A20" s="113">
        <v>35034</v>
      </c>
      <c r="B20" s="113" t="e">
        <f t="shared" si="12"/>
        <v>#N/A</v>
      </c>
      <c r="C20" s="108" t="e">
        <f t="shared" si="0"/>
        <v>#N/A</v>
      </c>
      <c r="D20" s="114">
        <f t="shared" si="4"/>
        <v>0</v>
      </c>
      <c r="E20" s="114" t="e">
        <f t="shared" si="13"/>
        <v>#N/A</v>
      </c>
      <c r="F20" s="108" t="e">
        <f t="shared" si="5"/>
        <v>#N/A</v>
      </c>
      <c r="G20" s="114">
        <f t="shared" si="6"/>
        <v>0</v>
      </c>
      <c r="H20" s="110">
        <v>20</v>
      </c>
      <c r="I20" s="115">
        <v>0.0136</v>
      </c>
      <c r="J20" s="116">
        <v>0.0165</v>
      </c>
      <c r="K20" s="115">
        <v>0.0134</v>
      </c>
      <c r="L20" s="116">
        <v>0.0027</v>
      </c>
      <c r="M20" s="117">
        <v>0.0278</v>
      </c>
      <c r="N20" s="118">
        <f>IF(A20&gt;Dados!$C$16,0,IF(A20=Dados!$C$16,1,SUMIF($A$3:$A$500,CONCATENATE("&gt;",TEXT(DATEVALUE(TEXT(A20,"dd/mm/aaaa")),0)),$M$3:$M$500)-SUMIF($A$3:$A$500,CONCATENATE("&gt;",TEXT(Dados!$C$16-1,0)),$M$3:$M$500)+1%))</f>
        <v>0</v>
      </c>
      <c r="O20" s="119">
        <v>0.005</v>
      </c>
      <c r="P20" s="120">
        <f t="shared" si="1"/>
        <v>1.401042</v>
      </c>
      <c r="Q20" s="119">
        <v>0.01</v>
      </c>
      <c r="R20" s="120">
        <f t="shared" si="2"/>
        <v>2.211042</v>
      </c>
      <c r="S20" s="119">
        <v>0.01</v>
      </c>
      <c r="T20" s="120">
        <f t="shared" si="3"/>
        <v>1.741042</v>
      </c>
      <c r="AG20" s="121">
        <f t="shared" si="7"/>
        <v>35034</v>
      </c>
      <c r="AH20" s="121">
        <f t="shared" si="8"/>
        <v>35034</v>
      </c>
      <c r="AI20" s="121">
        <f t="shared" si="9"/>
        <v>35034</v>
      </c>
      <c r="AJ20" s="121">
        <f t="shared" si="10"/>
        <v>35034</v>
      </c>
      <c r="AK20" s="121">
        <f t="shared" si="11"/>
        <v>35034</v>
      </c>
    </row>
    <row r="21" spans="1:37" ht="15">
      <c r="A21" s="113">
        <v>35065</v>
      </c>
      <c r="B21" s="113" t="e">
        <f t="shared" si="12"/>
        <v>#N/A</v>
      </c>
      <c r="C21" s="108" t="e">
        <f t="shared" si="0"/>
        <v>#N/A</v>
      </c>
      <c r="D21" s="114">
        <f t="shared" si="4"/>
        <v>0</v>
      </c>
      <c r="E21" s="114" t="e">
        <f t="shared" si="13"/>
        <v>#N/A</v>
      </c>
      <c r="F21" s="108" t="e">
        <f t="shared" si="5"/>
        <v>#N/A</v>
      </c>
      <c r="G21" s="114">
        <f t="shared" si="6"/>
        <v>0</v>
      </c>
      <c r="H21" s="110">
        <v>21</v>
      </c>
      <c r="I21" s="115">
        <v>0.0163</v>
      </c>
      <c r="J21" s="116">
        <v>0.0146</v>
      </c>
      <c r="K21" s="115">
        <v>0.012526</v>
      </c>
      <c r="L21" s="116">
        <v>0.0179</v>
      </c>
      <c r="M21" s="117">
        <v>0.0258</v>
      </c>
      <c r="N21" s="118">
        <f>IF(A21&gt;Dados!$C$16,0,IF(A21=Dados!$C$16,1,SUMIF($A$3:$A$500,CONCATENATE("&gt;",TEXT(DATEVALUE(TEXT(A21,"dd/mm/aaaa")),0)),$M$3:$M$500)-SUMIF($A$3:$A$500,CONCATENATE("&gt;",TEXT(Dados!$C$16-1,0)),$M$3:$M$500)+1%))</f>
        <v>0</v>
      </c>
      <c r="O21" s="119">
        <v>0.005</v>
      </c>
      <c r="P21" s="120">
        <f t="shared" si="1"/>
        <v>1.396042</v>
      </c>
      <c r="Q21" s="119">
        <v>0.01</v>
      </c>
      <c r="R21" s="120">
        <f t="shared" si="2"/>
        <v>2.201042</v>
      </c>
      <c r="S21" s="119">
        <v>0.01</v>
      </c>
      <c r="T21" s="120">
        <f t="shared" si="3"/>
        <v>1.731042</v>
      </c>
      <c r="AG21" s="121">
        <f t="shared" si="7"/>
        <v>35065</v>
      </c>
      <c r="AH21" s="121">
        <f t="shared" si="8"/>
        <v>35065</v>
      </c>
      <c r="AI21" s="121">
        <f t="shared" si="9"/>
        <v>35065</v>
      </c>
      <c r="AJ21" s="121">
        <f t="shared" si="10"/>
        <v>35065</v>
      </c>
      <c r="AK21" s="121">
        <f t="shared" si="11"/>
        <v>35065</v>
      </c>
    </row>
    <row r="22" spans="1:37" ht="15">
      <c r="A22" s="113">
        <v>35096</v>
      </c>
      <c r="B22" s="113" t="e">
        <f t="shared" si="12"/>
        <v>#N/A</v>
      </c>
      <c r="C22" s="108" t="e">
        <f t="shared" si="0"/>
        <v>#N/A</v>
      </c>
      <c r="D22" s="114">
        <f t="shared" si="4"/>
        <v>0</v>
      </c>
      <c r="E22" s="114" t="e">
        <f t="shared" si="13"/>
        <v>#N/A</v>
      </c>
      <c r="F22" s="108" t="e">
        <f t="shared" si="5"/>
        <v>#N/A</v>
      </c>
      <c r="G22" s="114">
        <f t="shared" si="6"/>
        <v>0</v>
      </c>
      <c r="H22" s="110">
        <v>22</v>
      </c>
      <c r="I22" s="115">
        <v>0.012</v>
      </c>
      <c r="J22" s="116">
        <v>0.0071</v>
      </c>
      <c r="K22" s="115">
        <v>0.009625</v>
      </c>
      <c r="L22" s="116">
        <v>0.0076</v>
      </c>
      <c r="M22" s="117">
        <v>0.0235</v>
      </c>
      <c r="N22" s="118">
        <f>IF(A22&gt;Dados!$C$16,0,IF(A22=Dados!$C$16,1,SUMIF($A$3:$A$500,CONCATENATE("&gt;",TEXT(DATEVALUE(TEXT(A22,"dd/mm/aaaa")),0)),$M$3:$M$500)-SUMIF($A$3:$A$500,CONCATENATE("&gt;",TEXT(Dados!$C$16-1,0)),$M$3:$M$500)+1%))</f>
        <v>0</v>
      </c>
      <c r="O22" s="119">
        <v>0.005</v>
      </c>
      <c r="P22" s="120">
        <f t="shared" si="1"/>
        <v>1.391042</v>
      </c>
      <c r="Q22" s="119">
        <v>0.01</v>
      </c>
      <c r="R22" s="120">
        <f t="shared" si="2"/>
        <v>2.191042</v>
      </c>
      <c r="S22" s="119">
        <v>0.01</v>
      </c>
      <c r="T22" s="120">
        <f t="shared" si="3"/>
        <v>1.721042</v>
      </c>
      <c r="AG22" s="121">
        <f t="shared" si="7"/>
        <v>35096</v>
      </c>
      <c r="AH22" s="121">
        <f t="shared" si="8"/>
        <v>35096</v>
      </c>
      <c r="AI22" s="121">
        <f t="shared" si="9"/>
        <v>35096</v>
      </c>
      <c r="AJ22" s="121">
        <f t="shared" si="10"/>
        <v>35096</v>
      </c>
      <c r="AK22" s="121">
        <f t="shared" si="11"/>
        <v>35096</v>
      </c>
    </row>
    <row r="23" spans="1:37" ht="15">
      <c r="A23" s="113">
        <v>35125</v>
      </c>
      <c r="B23" s="113" t="e">
        <f t="shared" si="12"/>
        <v>#N/A</v>
      </c>
      <c r="C23" s="108" t="e">
        <f t="shared" si="0"/>
        <v>#N/A</v>
      </c>
      <c r="D23" s="114">
        <f t="shared" si="4"/>
        <v>0</v>
      </c>
      <c r="E23" s="114" t="e">
        <f t="shared" si="13"/>
        <v>#N/A</v>
      </c>
      <c r="F23" s="108" t="e">
        <f t="shared" si="5"/>
        <v>#N/A</v>
      </c>
      <c r="G23" s="114">
        <f t="shared" si="6"/>
        <v>0</v>
      </c>
      <c r="H23" s="110">
        <v>23</v>
      </c>
      <c r="I23" s="115">
        <v>0.0062</v>
      </c>
      <c r="J23" s="116">
        <v>0.0029</v>
      </c>
      <c r="K23" s="115">
        <v>0.008139</v>
      </c>
      <c r="L23" s="116">
        <v>0.0022</v>
      </c>
      <c r="M23" s="117">
        <v>0.0222</v>
      </c>
      <c r="N23" s="118">
        <f>IF(A23&gt;Dados!$C$16,0,IF(A23=Dados!$C$16,1,SUMIF($A$3:$A$500,CONCATENATE("&gt;",TEXT(DATEVALUE(TEXT(A23,"dd/mm/aaaa")),0)),$M$3:$M$500)-SUMIF($A$3:$A$500,CONCATENATE("&gt;",TEXT(Dados!$C$16-1,0)),$M$3:$M$500)+1%))</f>
        <v>0</v>
      </c>
      <c r="O23" s="119">
        <v>0.005</v>
      </c>
      <c r="P23" s="120">
        <f t="shared" si="1"/>
        <v>1.386042</v>
      </c>
      <c r="Q23" s="119">
        <v>0.01</v>
      </c>
      <c r="R23" s="120">
        <f t="shared" si="2"/>
        <v>2.181042</v>
      </c>
      <c r="S23" s="119">
        <v>0.01</v>
      </c>
      <c r="T23" s="120">
        <f t="shared" si="3"/>
        <v>1.711042</v>
      </c>
      <c r="AG23" s="121">
        <f t="shared" si="7"/>
        <v>35125</v>
      </c>
      <c r="AH23" s="121">
        <f t="shared" si="8"/>
        <v>35125</v>
      </c>
      <c r="AI23" s="121">
        <f t="shared" si="9"/>
        <v>35125</v>
      </c>
      <c r="AJ23" s="121">
        <f t="shared" si="10"/>
        <v>35125</v>
      </c>
      <c r="AK23" s="121">
        <f t="shared" si="11"/>
        <v>35125</v>
      </c>
    </row>
    <row r="24" spans="1:37" ht="15">
      <c r="A24" s="113">
        <v>35156</v>
      </c>
      <c r="B24" s="113" t="e">
        <f t="shared" si="12"/>
        <v>#N/A</v>
      </c>
      <c r="C24" s="108" t="e">
        <f t="shared" si="0"/>
        <v>#N/A</v>
      </c>
      <c r="D24" s="114">
        <f t="shared" si="4"/>
        <v>0</v>
      </c>
      <c r="E24" s="114" t="e">
        <f t="shared" si="13"/>
        <v>#N/A</v>
      </c>
      <c r="F24" s="108" t="e">
        <f t="shared" si="5"/>
        <v>#N/A</v>
      </c>
      <c r="G24" s="114">
        <f t="shared" si="6"/>
        <v>0</v>
      </c>
      <c r="H24" s="110">
        <v>24</v>
      </c>
      <c r="I24" s="115">
        <v>0.007</v>
      </c>
      <c r="J24" s="116">
        <v>0.0093</v>
      </c>
      <c r="K24" s="115">
        <v>0.006597</v>
      </c>
      <c r="L24" s="116">
        <v>0.007</v>
      </c>
      <c r="M24" s="117">
        <v>0.0207</v>
      </c>
      <c r="N24" s="118">
        <f>IF(A24&gt;Dados!$C$16,0,IF(A24=Dados!$C$16,1,SUMIF($A$3:$A$500,CONCATENATE("&gt;",TEXT(DATEVALUE(TEXT(A24,"dd/mm/aaaa")),0)),$M$3:$M$500)-SUMIF($A$3:$A$500,CONCATENATE("&gt;",TEXT(Dados!$C$16-1,0)),$M$3:$M$500)+1%))</f>
        <v>0</v>
      </c>
      <c r="O24" s="119">
        <v>0.005</v>
      </c>
      <c r="P24" s="120">
        <f t="shared" si="1"/>
        <v>1.381042</v>
      </c>
      <c r="Q24" s="119">
        <v>0.01</v>
      </c>
      <c r="R24" s="120">
        <f t="shared" si="2"/>
        <v>2.171042</v>
      </c>
      <c r="S24" s="119">
        <v>0.01</v>
      </c>
      <c r="T24" s="120">
        <f t="shared" si="3"/>
        <v>1.701042</v>
      </c>
      <c r="AG24" s="121">
        <f t="shared" si="7"/>
        <v>35156</v>
      </c>
      <c r="AH24" s="121">
        <f t="shared" si="8"/>
        <v>35156</v>
      </c>
      <c r="AI24" s="121">
        <f t="shared" si="9"/>
        <v>35156</v>
      </c>
      <c r="AJ24" s="121">
        <f t="shared" si="10"/>
        <v>35156</v>
      </c>
      <c r="AK24" s="121">
        <f t="shared" si="11"/>
        <v>35156</v>
      </c>
    </row>
    <row r="25" spans="1:37" ht="15">
      <c r="A25" s="122">
        <v>35186</v>
      </c>
      <c r="B25" s="122" t="e">
        <f>Dados!O23</f>
        <v>#N/A</v>
      </c>
      <c r="C25" s="108" t="e">
        <f t="shared" si="0"/>
        <v>#N/A</v>
      </c>
      <c r="D25" s="114">
        <f t="shared" si="4"/>
        <v>0</v>
      </c>
      <c r="E25" s="122" t="e">
        <f>Dados!O63</f>
        <v>#N/A</v>
      </c>
      <c r="F25" s="108" t="e">
        <f t="shared" si="5"/>
        <v>#N/A</v>
      </c>
      <c r="G25" s="114">
        <f t="shared" si="6"/>
        <v>0</v>
      </c>
      <c r="H25" s="110">
        <v>25</v>
      </c>
      <c r="I25" s="115">
        <v>0.0132</v>
      </c>
      <c r="J25" s="116">
        <v>0.0128</v>
      </c>
      <c r="K25" s="115">
        <v>0.005888</v>
      </c>
      <c r="L25" s="116">
        <v>0.0168</v>
      </c>
      <c r="M25" s="117">
        <v>0.0201</v>
      </c>
      <c r="N25" s="118">
        <f>IF(A25&gt;Dados!$C$16,0,IF(A25=Dados!$C$16,1,SUMIF($A$3:$A$500,CONCATENATE("&gt;",TEXT(DATEVALUE(TEXT(A25,"dd/mm/aaaa")),0)),$M$3:$M$500)-SUMIF($A$3:$A$500,CONCATENATE("&gt;",TEXT(Dados!$C$16-1,0)),$M$3:$M$500)+1%))</f>
        <v>0</v>
      </c>
      <c r="O25" s="119">
        <v>0.005</v>
      </c>
      <c r="P25" s="120">
        <f t="shared" si="1"/>
        <v>1.376042</v>
      </c>
      <c r="Q25" s="119">
        <v>0.01</v>
      </c>
      <c r="R25" s="120">
        <f t="shared" si="2"/>
        <v>2.161042</v>
      </c>
      <c r="S25" s="119">
        <v>0.01</v>
      </c>
      <c r="T25" s="120">
        <f t="shared" si="3"/>
        <v>1.691042</v>
      </c>
      <c r="AG25" s="121">
        <f t="shared" si="7"/>
        <v>35186</v>
      </c>
      <c r="AH25" s="121">
        <f t="shared" si="8"/>
        <v>35186</v>
      </c>
      <c r="AI25" s="121">
        <f t="shared" si="9"/>
        <v>35186</v>
      </c>
      <c r="AJ25" s="121">
        <f t="shared" si="10"/>
        <v>35186</v>
      </c>
      <c r="AK25" s="121">
        <f t="shared" si="11"/>
        <v>35186</v>
      </c>
    </row>
    <row r="26" spans="1:37" ht="15">
      <c r="A26" s="113">
        <v>35217</v>
      </c>
      <c r="B26" s="113" t="e">
        <f>B25</f>
        <v>#N/A</v>
      </c>
      <c r="C26" s="108" t="e">
        <f t="shared" si="0"/>
        <v>#N/A</v>
      </c>
      <c r="D26" s="114">
        <f t="shared" si="4"/>
        <v>0</v>
      </c>
      <c r="E26" s="114" t="e">
        <f>E25</f>
        <v>#N/A</v>
      </c>
      <c r="F26" s="108" t="e">
        <f t="shared" si="5"/>
        <v>#N/A</v>
      </c>
      <c r="G26" s="114">
        <f t="shared" si="6"/>
        <v>0</v>
      </c>
      <c r="H26" s="110">
        <v>26</v>
      </c>
      <c r="I26" s="115">
        <v>0.0111</v>
      </c>
      <c r="J26" s="116">
        <v>0.0133</v>
      </c>
      <c r="K26" s="115">
        <v>0.006099</v>
      </c>
      <c r="L26" s="116">
        <v>0.0122</v>
      </c>
      <c r="M26" s="117">
        <v>0.0198</v>
      </c>
      <c r="N26" s="118">
        <f>IF(A26&gt;Dados!$C$16,0,IF(A26=Dados!$C$16,1,SUMIF($A$3:$A$500,CONCATENATE("&gt;",TEXT(DATEVALUE(TEXT(A26,"dd/mm/aaaa")),0)),$M$3:$M$500)-SUMIF($A$3:$A$500,CONCATENATE("&gt;",TEXT(Dados!$C$16-1,0)),$M$3:$M$500)+1%))</f>
        <v>0</v>
      </c>
      <c r="O26" s="119">
        <v>0.005</v>
      </c>
      <c r="P26" s="120">
        <f t="shared" si="1"/>
        <v>1.371042</v>
      </c>
      <c r="Q26" s="119">
        <v>0.01</v>
      </c>
      <c r="R26" s="120">
        <f t="shared" si="2"/>
        <v>2.151042</v>
      </c>
      <c r="S26" s="119">
        <v>0.01</v>
      </c>
      <c r="T26" s="120">
        <f t="shared" si="3"/>
        <v>1.681042</v>
      </c>
      <c r="AG26" s="121">
        <f t="shared" si="7"/>
        <v>35217</v>
      </c>
      <c r="AH26" s="121">
        <f t="shared" si="8"/>
        <v>35217</v>
      </c>
      <c r="AI26" s="121">
        <f t="shared" si="9"/>
        <v>35217</v>
      </c>
      <c r="AJ26" s="121">
        <f t="shared" si="10"/>
        <v>35217</v>
      </c>
      <c r="AK26" s="121">
        <f t="shared" si="11"/>
        <v>35217</v>
      </c>
    </row>
    <row r="27" spans="1:37" ht="15">
      <c r="A27" s="113">
        <v>35247</v>
      </c>
      <c r="B27" s="113" t="e">
        <f aca="true" t="shared" si="14" ref="B27:B90">B26</f>
        <v>#N/A</v>
      </c>
      <c r="C27" s="108" t="e">
        <f t="shared" si="0"/>
        <v>#N/A</v>
      </c>
      <c r="D27" s="114">
        <f t="shared" si="4"/>
        <v>0</v>
      </c>
      <c r="E27" s="114" t="e">
        <f aca="true" t="shared" si="15" ref="E27:E90">E26</f>
        <v>#N/A</v>
      </c>
      <c r="F27" s="108" t="e">
        <f t="shared" si="5"/>
        <v>#N/A</v>
      </c>
      <c r="G27" s="114">
        <f t="shared" si="6"/>
        <v>0</v>
      </c>
      <c r="H27" s="110">
        <v>27</v>
      </c>
      <c r="I27" s="115">
        <v>0.0137</v>
      </c>
      <c r="J27" s="116">
        <v>0.012</v>
      </c>
      <c r="K27" s="115">
        <v>0.005851</v>
      </c>
      <c r="L27" s="116">
        <v>0.0109</v>
      </c>
      <c r="M27" s="117">
        <v>0.0193</v>
      </c>
      <c r="N27" s="118">
        <f>IF(A27&gt;Dados!$C$16,0,IF(A27=Dados!$C$16,1,SUMIF($A$3:$A$500,CONCATENATE("&gt;",TEXT(DATEVALUE(TEXT(A27,"dd/mm/aaaa")),0)),$M$3:$M$500)-SUMIF($A$3:$A$500,CONCATENATE("&gt;",TEXT(Dados!$C$16-1,0)),$M$3:$M$500)+1%))</f>
        <v>0</v>
      </c>
      <c r="O27" s="119">
        <v>0.005</v>
      </c>
      <c r="P27" s="120">
        <f t="shared" si="1"/>
        <v>1.366042</v>
      </c>
      <c r="Q27" s="119">
        <v>0.01</v>
      </c>
      <c r="R27" s="120">
        <f t="shared" si="2"/>
        <v>2.141042</v>
      </c>
      <c r="S27" s="119">
        <v>0.01</v>
      </c>
      <c r="T27" s="120">
        <f t="shared" si="3"/>
        <v>1.671042</v>
      </c>
      <c r="AG27" s="121">
        <f t="shared" si="7"/>
        <v>35247</v>
      </c>
      <c r="AH27" s="121">
        <f t="shared" si="8"/>
        <v>35247</v>
      </c>
      <c r="AI27" s="121">
        <f t="shared" si="9"/>
        <v>35247</v>
      </c>
      <c r="AJ27" s="121">
        <f t="shared" si="10"/>
        <v>35247</v>
      </c>
      <c r="AK27" s="121">
        <f t="shared" si="11"/>
        <v>35247</v>
      </c>
    </row>
    <row r="28" spans="1:37" ht="15">
      <c r="A28" s="113">
        <v>35278</v>
      </c>
      <c r="B28" s="113" t="e">
        <f t="shared" si="14"/>
        <v>#N/A</v>
      </c>
      <c r="C28" s="108" t="e">
        <f t="shared" si="0"/>
        <v>#N/A</v>
      </c>
      <c r="D28" s="114">
        <f t="shared" si="4"/>
        <v>0</v>
      </c>
      <c r="E28" s="114" t="e">
        <f t="shared" si="15"/>
        <v>#N/A</v>
      </c>
      <c r="F28" s="108" t="e">
        <f t="shared" si="5"/>
        <v>#N/A</v>
      </c>
      <c r="G28" s="114">
        <f t="shared" si="6"/>
        <v>0</v>
      </c>
      <c r="H28" s="110">
        <v>28</v>
      </c>
      <c r="I28" s="115">
        <v>0.007</v>
      </c>
      <c r="J28" s="116">
        <v>0.005</v>
      </c>
      <c r="K28" s="115">
        <v>0.006275</v>
      </c>
      <c r="L28" s="116">
        <v>0</v>
      </c>
      <c r="M28" s="117">
        <v>0.0197</v>
      </c>
      <c r="N28" s="118">
        <f>IF(A28&gt;Dados!$C$16,0,IF(A28=Dados!$C$16,1,SUMIF($A$3:$A$500,CONCATENATE("&gt;",TEXT(DATEVALUE(TEXT(A28,"dd/mm/aaaa")),0)),$M$3:$M$500)-SUMIF($A$3:$A$500,CONCATENATE("&gt;",TEXT(Dados!$C$16-1,0)),$M$3:$M$500)+1%))</f>
        <v>0</v>
      </c>
      <c r="O28" s="119">
        <v>0.005</v>
      </c>
      <c r="P28" s="120">
        <f t="shared" si="1"/>
        <v>1.361042</v>
      </c>
      <c r="Q28" s="119">
        <v>0.01</v>
      </c>
      <c r="R28" s="120">
        <f t="shared" si="2"/>
        <v>2.131042</v>
      </c>
      <c r="S28" s="119">
        <v>0.01</v>
      </c>
      <c r="T28" s="120">
        <f t="shared" si="3"/>
        <v>1.661042</v>
      </c>
      <c r="AD28" s="104">
        <v>1</v>
      </c>
      <c r="AG28" s="121">
        <f t="shared" si="7"/>
        <v>35278</v>
      </c>
      <c r="AH28" s="121">
        <f t="shared" si="8"/>
        <v>35278</v>
      </c>
      <c r="AI28" s="121">
        <f t="shared" si="9"/>
        <v>35278</v>
      </c>
      <c r="AJ28" s="121">
        <f t="shared" si="10"/>
        <v>35278</v>
      </c>
      <c r="AK28" s="121">
        <f t="shared" si="11"/>
        <v>35278</v>
      </c>
    </row>
    <row r="29" spans="1:37" ht="15">
      <c r="A29" s="113">
        <v>35309</v>
      </c>
      <c r="B29" s="113" t="e">
        <f t="shared" si="14"/>
        <v>#N/A</v>
      </c>
      <c r="C29" s="108" t="e">
        <f t="shared" si="0"/>
        <v>#N/A</v>
      </c>
      <c r="D29" s="114">
        <f t="shared" si="4"/>
        <v>0</v>
      </c>
      <c r="E29" s="114" t="e">
        <f t="shared" si="15"/>
        <v>#N/A</v>
      </c>
      <c r="F29" s="108" t="e">
        <f t="shared" si="5"/>
        <v>#N/A</v>
      </c>
      <c r="G29" s="114">
        <f t="shared" si="6"/>
        <v>0</v>
      </c>
      <c r="H29" s="110">
        <v>29</v>
      </c>
      <c r="I29" s="115">
        <v>0.0011</v>
      </c>
      <c r="J29" s="116">
        <v>0.0002</v>
      </c>
      <c r="K29" s="115">
        <v>0.00662</v>
      </c>
      <c r="L29" s="116">
        <v>0.0013</v>
      </c>
      <c r="M29" s="117">
        <v>0.019</v>
      </c>
      <c r="N29" s="118">
        <f>IF(A29&gt;Dados!$C$16,0,IF(A29=Dados!$C$16,1,SUMIF($A$3:$A$500,CONCATENATE("&gt;",TEXT(DATEVALUE(TEXT(A29,"dd/mm/aaaa")),0)),$M$3:$M$500)-SUMIF($A$3:$A$500,CONCATENATE("&gt;",TEXT(Dados!$C$16-1,0)),$M$3:$M$500)+1%))</f>
        <v>0</v>
      </c>
      <c r="O29" s="119">
        <v>0.005</v>
      </c>
      <c r="P29" s="120">
        <f t="shared" si="1"/>
        <v>1.356042</v>
      </c>
      <c r="Q29" s="119">
        <v>0.01</v>
      </c>
      <c r="R29" s="120">
        <f t="shared" si="2"/>
        <v>2.121042</v>
      </c>
      <c r="S29" s="119">
        <v>0.01</v>
      </c>
      <c r="T29" s="120">
        <f t="shared" si="3"/>
        <v>1.651042</v>
      </c>
      <c r="AG29" s="121">
        <f t="shared" si="7"/>
        <v>35309</v>
      </c>
      <c r="AH29" s="121">
        <f t="shared" si="8"/>
        <v>35309</v>
      </c>
      <c r="AI29" s="121">
        <f t="shared" si="9"/>
        <v>35309</v>
      </c>
      <c r="AJ29" s="121">
        <f t="shared" si="10"/>
        <v>35309</v>
      </c>
      <c r="AK29" s="121">
        <f t="shared" si="11"/>
        <v>35309</v>
      </c>
    </row>
    <row r="30" spans="1:37" ht="15">
      <c r="A30" s="113">
        <v>35339</v>
      </c>
      <c r="B30" s="113" t="e">
        <f t="shared" si="14"/>
        <v>#N/A</v>
      </c>
      <c r="C30" s="108" t="e">
        <f t="shared" si="0"/>
        <v>#N/A</v>
      </c>
      <c r="D30" s="114">
        <f t="shared" si="4"/>
        <v>0</v>
      </c>
      <c r="E30" s="114" t="e">
        <f t="shared" si="15"/>
        <v>#N/A</v>
      </c>
      <c r="F30" s="108" t="e">
        <f t="shared" si="5"/>
        <v>#N/A</v>
      </c>
      <c r="G30" s="114">
        <f t="shared" si="6"/>
        <v>0</v>
      </c>
      <c r="H30" s="110">
        <v>30</v>
      </c>
      <c r="I30" s="115">
        <v>0.0014</v>
      </c>
      <c r="J30" s="116">
        <v>0.0038</v>
      </c>
      <c r="K30" s="115">
        <v>0.007419</v>
      </c>
      <c r="L30" s="116">
        <v>0.0022</v>
      </c>
      <c r="M30" s="117">
        <v>0.0186</v>
      </c>
      <c r="N30" s="118">
        <f>IF(A30&gt;Dados!$C$16,0,IF(A30=Dados!$C$16,1,SUMIF($A$3:$A$500,CONCATENATE("&gt;",TEXT(DATEVALUE(TEXT(A30,"dd/mm/aaaa")),0)),$M$3:$M$500)-SUMIF($A$3:$A$500,CONCATENATE("&gt;",TEXT(Dados!$C$16-1,0)),$M$3:$M$500)+1%))</f>
        <v>0</v>
      </c>
      <c r="O30" s="119">
        <v>0.005</v>
      </c>
      <c r="P30" s="120">
        <f t="shared" si="1"/>
        <v>1.351042</v>
      </c>
      <c r="Q30" s="119">
        <v>0.01</v>
      </c>
      <c r="R30" s="120">
        <f t="shared" si="2"/>
        <v>2.111042</v>
      </c>
      <c r="S30" s="119">
        <v>0.01</v>
      </c>
      <c r="T30" s="120">
        <f t="shared" si="3"/>
        <v>1.641042</v>
      </c>
      <c r="AG30" s="121">
        <f t="shared" si="7"/>
        <v>35339</v>
      </c>
      <c r="AH30" s="121">
        <f t="shared" si="8"/>
        <v>35339</v>
      </c>
      <c r="AI30" s="121">
        <f t="shared" si="9"/>
        <v>35339</v>
      </c>
      <c r="AJ30" s="121">
        <f t="shared" si="10"/>
        <v>35339</v>
      </c>
      <c r="AK30" s="121">
        <f t="shared" si="11"/>
        <v>35339</v>
      </c>
    </row>
    <row r="31" spans="1:37" ht="15">
      <c r="A31" s="113">
        <v>35370</v>
      </c>
      <c r="B31" s="113" t="e">
        <f t="shared" si="14"/>
        <v>#N/A</v>
      </c>
      <c r="C31" s="108" t="e">
        <f t="shared" si="0"/>
        <v>#N/A</v>
      </c>
      <c r="D31" s="114">
        <f t="shared" si="4"/>
        <v>0</v>
      </c>
      <c r="E31" s="114" t="e">
        <f t="shared" si="15"/>
        <v>#N/A</v>
      </c>
      <c r="F31" s="108" t="e">
        <f t="shared" si="5"/>
        <v>#N/A</v>
      </c>
      <c r="G31" s="114">
        <f t="shared" si="6"/>
        <v>0</v>
      </c>
      <c r="H31" s="110">
        <v>31</v>
      </c>
      <c r="I31" s="115">
        <v>0.0041</v>
      </c>
      <c r="J31" s="116">
        <v>0.0034</v>
      </c>
      <c r="K31" s="115">
        <v>0.008146</v>
      </c>
      <c r="L31" s="116">
        <v>0.0028</v>
      </c>
      <c r="M31" s="117">
        <v>0.018</v>
      </c>
      <c r="N31" s="118">
        <f>IF(A31&gt;Dados!$C$16,0,IF(A31=Dados!$C$16,1,SUMIF($A$3:$A$500,CONCATENATE("&gt;",TEXT(DATEVALUE(TEXT(A31,"dd/mm/aaaa")),0)),$M$3:$M$500)-SUMIF($A$3:$A$500,CONCATENATE("&gt;",TEXT(Dados!$C$16-1,0)),$M$3:$M$500)+1%))</f>
        <v>0</v>
      </c>
      <c r="O31" s="119">
        <v>0.005</v>
      </c>
      <c r="P31" s="120">
        <f t="shared" si="1"/>
        <v>1.346042</v>
      </c>
      <c r="Q31" s="119">
        <v>0.01</v>
      </c>
      <c r="R31" s="120">
        <f t="shared" si="2"/>
        <v>2.101042</v>
      </c>
      <c r="S31" s="119">
        <v>0.01</v>
      </c>
      <c r="T31" s="120">
        <f t="shared" si="3"/>
        <v>1.631042</v>
      </c>
      <c r="AG31" s="121">
        <f t="shared" si="7"/>
        <v>35370</v>
      </c>
      <c r="AH31" s="121">
        <f t="shared" si="8"/>
        <v>35370</v>
      </c>
      <c r="AI31" s="121">
        <f t="shared" si="9"/>
        <v>35370</v>
      </c>
      <c r="AJ31" s="121">
        <f t="shared" si="10"/>
        <v>35370</v>
      </c>
      <c r="AK31" s="121">
        <f t="shared" si="11"/>
        <v>35370</v>
      </c>
    </row>
    <row r="32" spans="1:37" ht="15">
      <c r="A32" s="113">
        <v>35400</v>
      </c>
      <c r="B32" s="113" t="e">
        <f t="shared" si="14"/>
        <v>#N/A</v>
      </c>
      <c r="C32" s="108" t="e">
        <f t="shared" si="0"/>
        <v>#N/A</v>
      </c>
      <c r="D32" s="114">
        <f t="shared" si="4"/>
        <v>0</v>
      </c>
      <c r="E32" s="114" t="e">
        <f t="shared" si="15"/>
        <v>#N/A</v>
      </c>
      <c r="F32" s="108" t="e">
        <f t="shared" si="5"/>
        <v>#N/A</v>
      </c>
      <c r="G32" s="114">
        <f t="shared" si="6"/>
        <v>0</v>
      </c>
      <c r="H32" s="110">
        <v>32</v>
      </c>
      <c r="I32" s="115">
        <v>0.002</v>
      </c>
      <c r="J32" s="116">
        <v>0.0033</v>
      </c>
      <c r="K32" s="115">
        <v>0.008717</v>
      </c>
      <c r="L32" s="116">
        <v>0.0088</v>
      </c>
      <c r="M32" s="117">
        <v>0.018</v>
      </c>
      <c r="N32" s="118">
        <f>IF(A32&gt;Dados!$C$16,0,IF(A32=Dados!$C$16,1,SUMIF($A$3:$A$500,CONCATENATE("&gt;",TEXT(DATEVALUE(TEXT(A32,"dd/mm/aaaa")),0)),$M$3:$M$500)-SUMIF($A$3:$A$500,CONCATENATE("&gt;",TEXT(Dados!$C$16-1,0)),$M$3:$M$500)+1%))</f>
        <v>0</v>
      </c>
      <c r="O32" s="119">
        <v>0.005</v>
      </c>
      <c r="P32" s="120">
        <f t="shared" si="1"/>
        <v>1.341042</v>
      </c>
      <c r="Q32" s="119">
        <v>0.01</v>
      </c>
      <c r="R32" s="120">
        <f t="shared" si="2"/>
        <v>2.091042</v>
      </c>
      <c r="S32" s="119">
        <v>0.01</v>
      </c>
      <c r="T32" s="120">
        <f t="shared" si="3"/>
        <v>1.621042</v>
      </c>
      <c r="AG32" s="121">
        <f t="shared" si="7"/>
        <v>35400</v>
      </c>
      <c r="AH32" s="121">
        <f t="shared" si="8"/>
        <v>35400</v>
      </c>
      <c r="AI32" s="121">
        <f t="shared" si="9"/>
        <v>35400</v>
      </c>
      <c r="AJ32" s="121">
        <f t="shared" si="10"/>
        <v>35400</v>
      </c>
      <c r="AK32" s="121">
        <f t="shared" si="11"/>
        <v>35400</v>
      </c>
    </row>
    <row r="33" spans="1:37" ht="15">
      <c r="A33" s="113">
        <v>35431</v>
      </c>
      <c r="B33" s="113" t="e">
        <f t="shared" si="14"/>
        <v>#N/A</v>
      </c>
      <c r="C33" s="108" t="e">
        <f t="shared" si="0"/>
        <v>#N/A</v>
      </c>
      <c r="D33" s="114">
        <f t="shared" si="4"/>
        <v>0</v>
      </c>
      <c r="E33" s="114" t="e">
        <f t="shared" si="15"/>
        <v>#N/A</v>
      </c>
      <c r="F33" s="108" t="e">
        <f t="shared" si="5"/>
        <v>#N/A</v>
      </c>
      <c r="G33" s="114">
        <f t="shared" si="6"/>
        <v>0</v>
      </c>
      <c r="H33" s="110">
        <v>33</v>
      </c>
      <c r="I33" s="115">
        <v>0.0113</v>
      </c>
      <c r="J33" s="116">
        <v>0.0081</v>
      </c>
      <c r="K33" s="115">
        <v>0.00744</v>
      </c>
      <c r="L33" s="116">
        <v>0.0158</v>
      </c>
      <c r="M33" s="117">
        <v>0.0173</v>
      </c>
      <c r="N33" s="118">
        <f>IF(A33&gt;Dados!$C$16,0,IF(A33=Dados!$C$16,1,SUMIF($A$3:$A$500,CONCATENATE("&gt;",TEXT(DATEVALUE(TEXT(A33,"dd/mm/aaaa")),0)),$M$3:$M$500)-SUMIF($A$3:$A$500,CONCATENATE("&gt;",TEXT(Dados!$C$16-1,0)),$M$3:$M$500)+1%))</f>
        <v>0</v>
      </c>
      <c r="O33" s="119">
        <v>0.005</v>
      </c>
      <c r="P33" s="120">
        <f t="shared" si="1"/>
        <v>1.336042</v>
      </c>
      <c r="Q33" s="119">
        <v>0.01</v>
      </c>
      <c r="R33" s="120">
        <f t="shared" si="2"/>
        <v>2.081042</v>
      </c>
      <c r="S33" s="119">
        <v>0.01</v>
      </c>
      <c r="T33" s="120">
        <f t="shared" si="3"/>
        <v>1.611042</v>
      </c>
      <c r="AG33" s="121">
        <f t="shared" si="7"/>
        <v>35431</v>
      </c>
      <c r="AH33" s="121">
        <f t="shared" si="8"/>
        <v>35431</v>
      </c>
      <c r="AI33" s="121">
        <f t="shared" si="9"/>
        <v>35431</v>
      </c>
      <c r="AJ33" s="121">
        <f t="shared" si="10"/>
        <v>35431</v>
      </c>
      <c r="AK33" s="121">
        <f t="shared" si="11"/>
        <v>35431</v>
      </c>
    </row>
    <row r="34" spans="1:37" ht="15">
      <c r="A34" s="113">
        <v>35462</v>
      </c>
      <c r="B34" s="113" t="e">
        <f t="shared" si="14"/>
        <v>#N/A</v>
      </c>
      <c r="C34" s="108" t="e">
        <f t="shared" si="0"/>
        <v>#N/A</v>
      </c>
      <c r="D34" s="114">
        <f t="shared" si="4"/>
        <v>0</v>
      </c>
      <c r="E34" s="114" t="e">
        <f t="shared" si="15"/>
        <v>#N/A</v>
      </c>
      <c r="F34" s="108" t="e">
        <f t="shared" si="5"/>
        <v>#N/A</v>
      </c>
      <c r="G34" s="114">
        <f t="shared" si="6"/>
        <v>0</v>
      </c>
      <c r="H34" s="110">
        <v>34</v>
      </c>
      <c r="I34" s="115">
        <v>0.0071</v>
      </c>
      <c r="J34" s="116">
        <v>0.0045</v>
      </c>
      <c r="K34" s="115">
        <v>0.006616</v>
      </c>
      <c r="L34" s="116">
        <v>0.0042</v>
      </c>
      <c r="M34" s="117">
        <v>0.0167</v>
      </c>
      <c r="N34" s="118">
        <f>IF(A34&gt;Dados!$C$16,0,IF(A34=Dados!$C$16,1,SUMIF($A$3:$A$500,CONCATENATE("&gt;",TEXT(DATEVALUE(TEXT(A34,"dd/mm/aaaa")),0)),$M$3:$M$500)-SUMIF($A$3:$A$500,CONCATENATE("&gt;",TEXT(Dados!$C$16-1,0)),$M$3:$M$500)+1%))</f>
        <v>0</v>
      </c>
      <c r="O34" s="119">
        <v>0.005</v>
      </c>
      <c r="P34" s="120">
        <f t="shared" si="1"/>
        <v>1.331042</v>
      </c>
      <c r="Q34" s="119">
        <v>0.01</v>
      </c>
      <c r="R34" s="120">
        <f t="shared" si="2"/>
        <v>2.071042</v>
      </c>
      <c r="S34" s="119">
        <v>0.01</v>
      </c>
      <c r="T34" s="120">
        <f t="shared" si="3"/>
        <v>1.601042</v>
      </c>
      <c r="AG34" s="121">
        <f t="shared" si="7"/>
        <v>35462</v>
      </c>
      <c r="AH34" s="121">
        <f t="shared" si="8"/>
        <v>35462</v>
      </c>
      <c r="AI34" s="121">
        <f t="shared" si="9"/>
        <v>35462</v>
      </c>
      <c r="AJ34" s="121">
        <f t="shared" si="10"/>
        <v>35462</v>
      </c>
      <c r="AK34" s="121">
        <f t="shared" si="11"/>
        <v>35462</v>
      </c>
    </row>
    <row r="35" spans="1:37" ht="15">
      <c r="A35" s="113">
        <v>35490</v>
      </c>
      <c r="B35" s="113" t="e">
        <f t="shared" si="14"/>
        <v>#N/A</v>
      </c>
      <c r="C35" s="108" t="e">
        <f t="shared" si="0"/>
        <v>#N/A</v>
      </c>
      <c r="D35" s="114">
        <f t="shared" si="4"/>
        <v>0</v>
      </c>
      <c r="E35" s="114" t="e">
        <f t="shared" si="15"/>
        <v>#N/A</v>
      </c>
      <c r="F35" s="108" t="e">
        <f t="shared" si="5"/>
        <v>#N/A</v>
      </c>
      <c r="G35" s="114">
        <f t="shared" si="6"/>
        <v>0</v>
      </c>
      <c r="H35" s="110">
        <v>35</v>
      </c>
      <c r="I35" s="115">
        <v>0.0059</v>
      </c>
      <c r="J35" s="116">
        <v>0.0068</v>
      </c>
      <c r="K35" s="115">
        <v>0.006316</v>
      </c>
      <c r="L35" s="116">
        <v>0.0116</v>
      </c>
      <c r="M35" s="117">
        <v>0.0164</v>
      </c>
      <c r="N35" s="118">
        <f>IF(A35&gt;Dados!$C$16,0,IF(A35=Dados!$C$16,1,SUMIF($A$3:$A$500,CONCATENATE("&gt;",TEXT(DATEVALUE(TEXT(A35,"dd/mm/aaaa")),0)),$M$3:$M$500)-SUMIF($A$3:$A$500,CONCATENATE("&gt;",TEXT(Dados!$C$16-1,0)),$M$3:$M$500)+1%))</f>
        <v>0</v>
      </c>
      <c r="O35" s="119">
        <v>0.005</v>
      </c>
      <c r="P35" s="120">
        <f t="shared" si="1"/>
        <v>1.326042</v>
      </c>
      <c r="Q35" s="119">
        <v>0.01</v>
      </c>
      <c r="R35" s="120">
        <f t="shared" si="2"/>
        <v>2.061042</v>
      </c>
      <c r="S35" s="119">
        <v>0.01</v>
      </c>
      <c r="T35" s="120">
        <f t="shared" si="3"/>
        <v>1.591042</v>
      </c>
      <c r="AG35" s="121">
        <f t="shared" si="7"/>
        <v>35490</v>
      </c>
      <c r="AH35" s="121">
        <f t="shared" si="8"/>
        <v>35490</v>
      </c>
      <c r="AI35" s="121">
        <f t="shared" si="9"/>
        <v>35490</v>
      </c>
      <c r="AJ35" s="121">
        <f t="shared" si="10"/>
        <v>35490</v>
      </c>
      <c r="AK35" s="121">
        <f t="shared" si="11"/>
        <v>35490</v>
      </c>
    </row>
    <row r="36" spans="1:37" ht="15">
      <c r="A36" s="113">
        <v>35521</v>
      </c>
      <c r="B36" s="113" t="e">
        <f t="shared" si="14"/>
        <v>#N/A</v>
      </c>
      <c r="C36" s="108" t="e">
        <f t="shared" si="0"/>
        <v>#N/A</v>
      </c>
      <c r="D36" s="114">
        <f t="shared" si="4"/>
        <v>0</v>
      </c>
      <c r="E36" s="114" t="e">
        <f t="shared" si="15"/>
        <v>#N/A</v>
      </c>
      <c r="F36" s="108" t="e">
        <f t="shared" si="5"/>
        <v>#N/A</v>
      </c>
      <c r="G36" s="114">
        <f t="shared" si="6"/>
        <v>0</v>
      </c>
      <c r="H36" s="110">
        <v>36</v>
      </c>
      <c r="I36" s="115">
        <v>0.0068</v>
      </c>
      <c r="J36" s="116">
        <v>0.006</v>
      </c>
      <c r="K36" s="115">
        <v>0.006211</v>
      </c>
      <c r="L36" s="116">
        <v>0.0059</v>
      </c>
      <c r="M36" s="117">
        <v>0.0166</v>
      </c>
      <c r="N36" s="118">
        <f>IF(A36&gt;Dados!$C$16,0,IF(A36=Dados!$C$16,1,SUMIF($A$3:$A$500,CONCATENATE("&gt;",TEXT(DATEVALUE(TEXT(A36,"dd/mm/aaaa")),0)),$M$3:$M$500)-SUMIF($A$3:$A$500,CONCATENATE("&gt;",TEXT(Dados!$C$16-1,0)),$M$3:$M$500)+1%))</f>
        <v>0</v>
      </c>
      <c r="O36" s="119">
        <v>0.005</v>
      </c>
      <c r="P36" s="120">
        <f t="shared" si="1"/>
        <v>1.321042</v>
      </c>
      <c r="Q36" s="119">
        <v>0.01</v>
      </c>
      <c r="R36" s="120">
        <f t="shared" si="2"/>
        <v>2.051042</v>
      </c>
      <c r="S36" s="119">
        <v>0.01</v>
      </c>
      <c r="T36" s="120">
        <f t="shared" si="3"/>
        <v>1.581042</v>
      </c>
      <c r="AG36" s="121">
        <f t="shared" si="7"/>
        <v>35521</v>
      </c>
      <c r="AH36" s="121">
        <f t="shared" si="8"/>
        <v>35521</v>
      </c>
      <c r="AI36" s="121">
        <f t="shared" si="9"/>
        <v>35521</v>
      </c>
      <c r="AJ36" s="121">
        <f t="shared" si="10"/>
        <v>35521</v>
      </c>
      <c r="AK36" s="121">
        <f t="shared" si="11"/>
        <v>35521</v>
      </c>
    </row>
    <row r="37" spans="1:37" ht="15">
      <c r="A37" s="113">
        <v>35551</v>
      </c>
      <c r="B37" s="113" t="e">
        <f t="shared" si="14"/>
        <v>#N/A</v>
      </c>
      <c r="C37" s="108" t="e">
        <f t="shared" si="0"/>
        <v>#N/A</v>
      </c>
      <c r="D37" s="114">
        <f t="shared" si="4"/>
        <v>0</v>
      </c>
      <c r="E37" s="114" t="e">
        <f t="shared" si="15"/>
        <v>#N/A</v>
      </c>
      <c r="F37" s="108" t="e">
        <f t="shared" si="5"/>
        <v>#N/A</v>
      </c>
      <c r="G37" s="114">
        <f t="shared" si="6"/>
        <v>0</v>
      </c>
      <c r="H37" s="110">
        <v>37</v>
      </c>
      <c r="I37" s="115">
        <v>0.005</v>
      </c>
      <c r="J37" s="116">
        <v>0.0011</v>
      </c>
      <c r="K37" s="115">
        <v>0.006354</v>
      </c>
      <c r="L37" s="116">
        <v>0.003</v>
      </c>
      <c r="M37" s="117">
        <v>0.0158</v>
      </c>
      <c r="N37" s="118">
        <f>IF(A37&gt;Dados!$C$16,0,IF(A37=Dados!$C$16,1,SUMIF($A$3:$A$500,CONCATENATE("&gt;",TEXT(DATEVALUE(TEXT(A37,"dd/mm/aaaa")),0)),$M$3:$M$500)-SUMIF($A$3:$A$500,CONCATENATE("&gt;",TEXT(Dados!$C$16-1,0)),$M$3:$M$500)+1%))</f>
        <v>0</v>
      </c>
      <c r="O37" s="119">
        <v>0.005</v>
      </c>
      <c r="P37" s="120">
        <f t="shared" si="1"/>
        <v>1.316042</v>
      </c>
      <c r="Q37" s="119">
        <v>0.01</v>
      </c>
      <c r="R37" s="120">
        <f t="shared" si="2"/>
        <v>2.041042</v>
      </c>
      <c r="S37" s="119">
        <v>0.01</v>
      </c>
      <c r="T37" s="120">
        <f t="shared" si="3"/>
        <v>1.571042</v>
      </c>
      <c r="AG37" s="121">
        <f t="shared" si="7"/>
        <v>35551</v>
      </c>
      <c r="AH37" s="121">
        <f t="shared" si="8"/>
        <v>35551</v>
      </c>
      <c r="AI37" s="121">
        <f t="shared" si="9"/>
        <v>35551</v>
      </c>
      <c r="AJ37" s="121">
        <f t="shared" si="10"/>
        <v>35551</v>
      </c>
      <c r="AK37" s="121">
        <f t="shared" si="11"/>
        <v>35551</v>
      </c>
    </row>
    <row r="38" spans="1:37" ht="15">
      <c r="A38" s="113">
        <v>35582</v>
      </c>
      <c r="B38" s="113" t="e">
        <f t="shared" si="14"/>
        <v>#N/A</v>
      </c>
      <c r="C38" s="108" t="e">
        <f t="shared" si="0"/>
        <v>#N/A</v>
      </c>
      <c r="D38" s="114">
        <f t="shared" si="4"/>
        <v>0</v>
      </c>
      <c r="E38" s="114" t="e">
        <f t="shared" si="15"/>
        <v>#N/A</v>
      </c>
      <c r="F38" s="108" t="e">
        <f t="shared" si="5"/>
        <v>#N/A</v>
      </c>
      <c r="G38" s="114">
        <f t="shared" si="6"/>
        <v>0</v>
      </c>
      <c r="H38" s="110">
        <v>38</v>
      </c>
      <c r="I38" s="115">
        <v>0.0055</v>
      </c>
      <c r="J38" s="116">
        <v>0.0035</v>
      </c>
      <c r="K38" s="115">
        <v>0.006535</v>
      </c>
      <c r="L38" s="116">
        <v>0.007</v>
      </c>
      <c r="M38" s="117">
        <v>0.0161</v>
      </c>
      <c r="N38" s="118">
        <f>IF(A38&gt;Dados!$C$16,0,IF(A38=Dados!$C$16,1,SUMIF($A$3:$A$500,CONCATENATE("&gt;",TEXT(DATEVALUE(TEXT(A38,"dd/mm/aaaa")),0)),$M$3:$M$500)-SUMIF($A$3:$A$500,CONCATENATE("&gt;",TEXT(Dados!$C$16-1,0)),$M$3:$M$500)+1%))</f>
        <v>0</v>
      </c>
      <c r="O38" s="119">
        <v>0.005</v>
      </c>
      <c r="P38" s="120">
        <f t="shared" si="1"/>
        <v>1.311042</v>
      </c>
      <c r="Q38" s="119">
        <v>0.01</v>
      </c>
      <c r="R38" s="120">
        <f t="shared" si="2"/>
        <v>2.031042</v>
      </c>
      <c r="S38" s="119">
        <v>0.01</v>
      </c>
      <c r="T38" s="120">
        <f t="shared" si="3"/>
        <v>1.561042</v>
      </c>
      <c r="AG38" s="121">
        <f t="shared" si="7"/>
        <v>35582</v>
      </c>
      <c r="AH38" s="121">
        <f t="shared" si="8"/>
        <v>35582</v>
      </c>
      <c r="AI38" s="121">
        <f t="shared" si="9"/>
        <v>35582</v>
      </c>
      <c r="AJ38" s="121">
        <f t="shared" si="10"/>
        <v>35582</v>
      </c>
      <c r="AK38" s="121">
        <f t="shared" si="11"/>
        <v>35582</v>
      </c>
    </row>
    <row r="39" spans="1:37" ht="15">
      <c r="A39" s="113">
        <v>35612</v>
      </c>
      <c r="B39" s="113" t="e">
        <f t="shared" si="14"/>
        <v>#N/A</v>
      </c>
      <c r="C39" s="108" t="e">
        <f t="shared" si="0"/>
        <v>#N/A</v>
      </c>
      <c r="D39" s="114">
        <f t="shared" si="4"/>
        <v>0</v>
      </c>
      <c r="E39" s="114" t="e">
        <f t="shared" si="15"/>
        <v>#N/A</v>
      </c>
      <c r="F39" s="108" t="e">
        <f t="shared" si="5"/>
        <v>#N/A</v>
      </c>
      <c r="G39" s="114">
        <f t="shared" si="6"/>
        <v>0</v>
      </c>
      <c r="H39" s="110">
        <v>39</v>
      </c>
      <c r="I39" s="115">
        <v>0.0031</v>
      </c>
      <c r="J39" s="116">
        <v>0.0018</v>
      </c>
      <c r="K39" s="115">
        <v>0.00658</v>
      </c>
      <c r="L39" s="116">
        <v>0.0009</v>
      </c>
      <c r="M39" s="117">
        <v>0.016</v>
      </c>
      <c r="N39" s="118">
        <f>IF(A39&gt;Dados!$C$16,0,IF(A39=Dados!$C$16,1,SUMIF($A$3:$A$500,CONCATENATE("&gt;",TEXT(DATEVALUE(TEXT(A39,"dd/mm/aaaa")),0)),$M$3:$M$500)-SUMIF($A$3:$A$500,CONCATENATE("&gt;",TEXT(Dados!$C$16-1,0)),$M$3:$M$500)+1%))</f>
        <v>0</v>
      </c>
      <c r="O39" s="119">
        <v>0.005</v>
      </c>
      <c r="P39" s="120">
        <f t="shared" si="1"/>
        <v>1.306042</v>
      </c>
      <c r="Q39" s="119">
        <v>0.01</v>
      </c>
      <c r="R39" s="120">
        <f t="shared" si="2"/>
        <v>2.021042</v>
      </c>
      <c r="S39" s="119">
        <v>0.01</v>
      </c>
      <c r="T39" s="120">
        <f t="shared" si="3"/>
        <v>1.551042</v>
      </c>
      <c r="AG39" s="121">
        <f t="shared" si="7"/>
        <v>35612</v>
      </c>
      <c r="AH39" s="121">
        <f t="shared" si="8"/>
        <v>35612</v>
      </c>
      <c r="AI39" s="121">
        <f t="shared" si="9"/>
        <v>35612</v>
      </c>
      <c r="AJ39" s="121">
        <f t="shared" si="10"/>
        <v>35612</v>
      </c>
      <c r="AK39" s="121">
        <f t="shared" si="11"/>
        <v>35612</v>
      </c>
    </row>
    <row r="40" spans="1:37" ht="15">
      <c r="A40" s="113">
        <v>35643</v>
      </c>
      <c r="B40" s="113" t="e">
        <f t="shared" si="14"/>
        <v>#N/A</v>
      </c>
      <c r="C40" s="108" t="e">
        <f t="shared" si="0"/>
        <v>#N/A</v>
      </c>
      <c r="D40" s="114">
        <f t="shared" si="4"/>
        <v>0</v>
      </c>
      <c r="E40" s="114" t="e">
        <f t="shared" si="15"/>
        <v>#N/A</v>
      </c>
      <c r="F40" s="108" t="e">
        <f t="shared" si="5"/>
        <v>#N/A</v>
      </c>
      <c r="G40" s="114">
        <f t="shared" si="6"/>
        <v>0</v>
      </c>
      <c r="H40" s="110">
        <v>40</v>
      </c>
      <c r="I40" s="115">
        <v>0.0017</v>
      </c>
      <c r="J40" s="116">
        <v>-0.0003</v>
      </c>
      <c r="K40" s="115">
        <v>0.00627</v>
      </c>
      <c r="L40" s="116">
        <v>-0.0004</v>
      </c>
      <c r="M40" s="117">
        <v>0.0159</v>
      </c>
      <c r="N40" s="118">
        <f>IF(A40&gt;Dados!$C$16,0,IF(A40=Dados!$C$16,1,SUMIF($A$3:$A$500,CONCATENATE("&gt;",TEXT(DATEVALUE(TEXT(A40,"dd/mm/aaaa")),0)),$M$3:$M$500)-SUMIF($A$3:$A$500,CONCATENATE("&gt;",TEXT(Dados!$C$16-1,0)),$M$3:$M$500)+1%))</f>
        <v>0</v>
      </c>
      <c r="O40" s="119">
        <v>0.005</v>
      </c>
      <c r="P40" s="120">
        <f t="shared" si="1"/>
        <v>1.301042</v>
      </c>
      <c r="Q40" s="119">
        <v>0.01</v>
      </c>
      <c r="R40" s="120">
        <f t="shared" si="2"/>
        <v>2.011042</v>
      </c>
      <c r="S40" s="119">
        <v>0.01</v>
      </c>
      <c r="T40" s="120">
        <f t="shared" si="3"/>
        <v>1.541042</v>
      </c>
      <c r="AG40" s="121">
        <f t="shared" si="7"/>
        <v>35643</v>
      </c>
      <c r="AH40" s="121">
        <f t="shared" si="8"/>
        <v>35643</v>
      </c>
      <c r="AI40" s="121">
        <f t="shared" si="9"/>
        <v>35643</v>
      </c>
      <c r="AJ40" s="121">
        <f t="shared" si="10"/>
        <v>35643</v>
      </c>
      <c r="AK40" s="121">
        <f t="shared" si="11"/>
        <v>35643</v>
      </c>
    </row>
    <row r="41" spans="1:37" ht="15">
      <c r="A41" s="113">
        <v>35674</v>
      </c>
      <c r="B41" s="113" t="e">
        <f t="shared" si="14"/>
        <v>#N/A</v>
      </c>
      <c r="C41" s="108" t="e">
        <f t="shared" si="0"/>
        <v>#N/A</v>
      </c>
      <c r="D41" s="114">
        <f t="shared" si="4"/>
        <v>0</v>
      </c>
      <c r="E41" s="114" t="e">
        <f t="shared" si="15"/>
        <v>#N/A</v>
      </c>
      <c r="F41" s="108" t="e">
        <f t="shared" si="5"/>
        <v>#N/A</v>
      </c>
      <c r="G41" s="114">
        <f t="shared" si="6"/>
        <v>0</v>
      </c>
      <c r="H41" s="110">
        <v>41</v>
      </c>
      <c r="I41" s="115">
        <v>-0.0005</v>
      </c>
      <c r="J41" s="116">
        <v>0.001</v>
      </c>
      <c r="K41" s="115">
        <v>0.006474</v>
      </c>
      <c r="L41" s="116">
        <v>0.0059</v>
      </c>
      <c r="M41" s="117">
        <v>0.0159</v>
      </c>
      <c r="N41" s="118">
        <f>IF(A41&gt;Dados!$C$16,0,IF(A41=Dados!$C$16,1,SUMIF($A$3:$A$500,CONCATENATE("&gt;",TEXT(DATEVALUE(TEXT(A41,"dd/mm/aaaa")),0)),$M$3:$M$500)-SUMIF($A$3:$A$500,CONCATENATE("&gt;",TEXT(Dados!$C$16-1,0)),$M$3:$M$500)+1%))</f>
        <v>0</v>
      </c>
      <c r="O41" s="119">
        <v>0.005</v>
      </c>
      <c r="P41" s="120">
        <f t="shared" si="1"/>
        <v>1.296042</v>
      </c>
      <c r="Q41" s="119">
        <v>0.01</v>
      </c>
      <c r="R41" s="120">
        <f t="shared" si="2"/>
        <v>2.001042</v>
      </c>
      <c r="S41" s="119">
        <v>0.01</v>
      </c>
      <c r="T41" s="120">
        <f t="shared" si="3"/>
        <v>1.531042</v>
      </c>
      <c r="AG41" s="121">
        <f t="shared" si="7"/>
        <v>35674</v>
      </c>
      <c r="AH41" s="121">
        <f t="shared" si="8"/>
        <v>35674</v>
      </c>
      <c r="AI41" s="121">
        <f t="shared" si="9"/>
        <v>35674</v>
      </c>
      <c r="AJ41" s="121">
        <f t="shared" si="10"/>
        <v>35674</v>
      </c>
      <c r="AK41" s="121">
        <f t="shared" si="11"/>
        <v>35674</v>
      </c>
    </row>
    <row r="42" spans="1:37" ht="15">
      <c r="A42" s="113">
        <v>35704</v>
      </c>
      <c r="B42" s="113" t="e">
        <f t="shared" si="14"/>
        <v>#N/A</v>
      </c>
      <c r="C42" s="108" t="e">
        <f t="shared" si="0"/>
        <v>#N/A</v>
      </c>
      <c r="D42" s="114">
        <f t="shared" si="4"/>
        <v>0</v>
      </c>
      <c r="E42" s="114" t="e">
        <f t="shared" si="15"/>
        <v>#N/A</v>
      </c>
      <c r="F42" s="108" t="e">
        <f t="shared" si="5"/>
        <v>#N/A</v>
      </c>
      <c r="G42" s="114">
        <f t="shared" si="6"/>
        <v>0</v>
      </c>
      <c r="H42" s="110">
        <v>42</v>
      </c>
      <c r="I42" s="115">
        <v>0.0025</v>
      </c>
      <c r="J42" s="116">
        <v>0.0029</v>
      </c>
      <c r="K42" s="115">
        <v>0.006553</v>
      </c>
      <c r="L42" s="116">
        <v>0.0034</v>
      </c>
      <c r="M42" s="117">
        <v>0.0167</v>
      </c>
      <c r="N42" s="118">
        <f>IF(A42&gt;Dados!$C$16,0,IF(A42=Dados!$C$16,1,SUMIF($A$3:$A$500,CONCATENATE("&gt;",TEXT(DATEVALUE(TEXT(A42,"dd/mm/aaaa")),0)),$M$3:$M$500)-SUMIF($A$3:$A$500,CONCATENATE("&gt;",TEXT(Dados!$C$16-1,0)),$M$3:$M$500)+1%))</f>
        <v>0</v>
      </c>
      <c r="O42" s="119">
        <v>0.005</v>
      </c>
      <c r="P42" s="120">
        <f t="shared" si="1"/>
        <v>1.291042</v>
      </c>
      <c r="Q42" s="119">
        <v>0.01</v>
      </c>
      <c r="R42" s="120">
        <f t="shared" si="2"/>
        <v>1.991042</v>
      </c>
      <c r="S42" s="119">
        <v>0.01</v>
      </c>
      <c r="T42" s="120">
        <f t="shared" si="3"/>
        <v>1.521042</v>
      </c>
      <c r="AG42" s="121">
        <f t="shared" si="7"/>
        <v>35704</v>
      </c>
      <c r="AH42" s="121">
        <f t="shared" si="8"/>
        <v>35704</v>
      </c>
      <c r="AI42" s="121">
        <f t="shared" si="9"/>
        <v>35704</v>
      </c>
      <c r="AJ42" s="121">
        <f t="shared" si="10"/>
        <v>35704</v>
      </c>
      <c r="AK42" s="121">
        <f t="shared" si="11"/>
        <v>35704</v>
      </c>
    </row>
    <row r="43" spans="1:37" ht="15">
      <c r="A43" s="113">
        <v>35735</v>
      </c>
      <c r="B43" s="113" t="e">
        <f t="shared" si="14"/>
        <v>#N/A</v>
      </c>
      <c r="C43" s="108" t="e">
        <f t="shared" si="0"/>
        <v>#N/A</v>
      </c>
      <c r="D43" s="114">
        <f t="shared" si="4"/>
        <v>0</v>
      </c>
      <c r="E43" s="114" t="e">
        <f t="shared" si="15"/>
        <v>#N/A</v>
      </c>
      <c r="F43" s="108" t="e">
        <f t="shared" si="5"/>
        <v>#N/A</v>
      </c>
      <c r="G43" s="114">
        <f t="shared" si="6"/>
        <v>0</v>
      </c>
      <c r="H43" s="110">
        <v>43</v>
      </c>
      <c r="I43" s="115">
        <v>0.0007</v>
      </c>
      <c r="J43" s="116">
        <v>0.0015</v>
      </c>
      <c r="K43" s="115">
        <v>0.015334</v>
      </c>
      <c r="L43" s="116">
        <v>0.0083</v>
      </c>
      <c r="M43" s="117">
        <v>0.0304</v>
      </c>
      <c r="N43" s="118">
        <f>IF(A43&gt;Dados!$C$16,0,IF(A43=Dados!$C$16,1,SUMIF($A$3:$A$500,CONCATENATE("&gt;",TEXT(DATEVALUE(TEXT(A43,"dd/mm/aaaa")),0)),$M$3:$M$500)-SUMIF($A$3:$A$500,CONCATENATE("&gt;",TEXT(Dados!$C$16-1,0)),$M$3:$M$500)+1%))</f>
        <v>0</v>
      </c>
      <c r="O43" s="119">
        <v>0.005</v>
      </c>
      <c r="P43" s="120">
        <f t="shared" si="1"/>
        <v>1.286042</v>
      </c>
      <c r="Q43" s="119">
        <v>0.01</v>
      </c>
      <c r="R43" s="120">
        <f t="shared" si="2"/>
        <v>1.981042</v>
      </c>
      <c r="S43" s="119">
        <v>0.01</v>
      </c>
      <c r="T43" s="120">
        <f t="shared" si="3"/>
        <v>1.511042</v>
      </c>
      <c r="AG43" s="121">
        <f t="shared" si="7"/>
        <v>35735</v>
      </c>
      <c r="AH43" s="121">
        <f t="shared" si="8"/>
        <v>35735</v>
      </c>
      <c r="AI43" s="121">
        <f t="shared" si="9"/>
        <v>35735</v>
      </c>
      <c r="AJ43" s="121">
        <f t="shared" si="10"/>
        <v>35735</v>
      </c>
      <c r="AK43" s="121">
        <f t="shared" si="11"/>
        <v>35735</v>
      </c>
    </row>
    <row r="44" spans="1:37" ht="15">
      <c r="A44" s="113">
        <v>35765</v>
      </c>
      <c r="B44" s="113" t="e">
        <f t="shared" si="14"/>
        <v>#N/A</v>
      </c>
      <c r="C44" s="108" t="e">
        <f t="shared" si="0"/>
        <v>#N/A</v>
      </c>
      <c r="D44" s="114">
        <f t="shared" si="4"/>
        <v>0</v>
      </c>
      <c r="E44" s="114" t="e">
        <f t="shared" si="15"/>
        <v>#N/A</v>
      </c>
      <c r="F44" s="108" t="e">
        <f t="shared" si="5"/>
        <v>#N/A</v>
      </c>
      <c r="G44" s="114">
        <f t="shared" si="6"/>
        <v>0</v>
      </c>
      <c r="H44" s="110">
        <v>44</v>
      </c>
      <c r="I44" s="115">
        <v>0.0049</v>
      </c>
      <c r="J44" s="116">
        <v>0.0057</v>
      </c>
      <c r="K44" s="115">
        <v>0.013085</v>
      </c>
      <c r="L44" s="116">
        <v>0.0069</v>
      </c>
      <c r="M44" s="117">
        <v>0.0297</v>
      </c>
      <c r="N44" s="118">
        <f>IF(A44&gt;Dados!$C$16,0,IF(A44=Dados!$C$16,1,SUMIF($A$3:$A$500,CONCATENATE("&gt;",TEXT(DATEVALUE(TEXT(A44,"dd/mm/aaaa")),0)),$M$3:$M$500)-SUMIF($A$3:$A$500,CONCATENATE("&gt;",TEXT(Dados!$C$16-1,0)),$M$3:$M$500)+1%))</f>
        <v>0</v>
      </c>
      <c r="O44" s="119">
        <v>0.005</v>
      </c>
      <c r="P44" s="120">
        <f t="shared" si="1"/>
        <v>1.281042</v>
      </c>
      <c r="Q44" s="119">
        <v>0.01</v>
      </c>
      <c r="R44" s="120">
        <f t="shared" si="2"/>
        <v>1.971042</v>
      </c>
      <c r="S44" s="119">
        <v>0.01</v>
      </c>
      <c r="T44" s="120">
        <f t="shared" si="3"/>
        <v>1.501042</v>
      </c>
      <c r="AG44" s="121">
        <f t="shared" si="7"/>
        <v>35765</v>
      </c>
      <c r="AH44" s="121">
        <f t="shared" si="8"/>
        <v>35765</v>
      </c>
      <c r="AI44" s="121">
        <f t="shared" si="9"/>
        <v>35765</v>
      </c>
      <c r="AJ44" s="121">
        <f t="shared" si="10"/>
        <v>35765</v>
      </c>
      <c r="AK44" s="121">
        <f t="shared" si="11"/>
        <v>35765</v>
      </c>
    </row>
    <row r="45" spans="1:37" ht="15">
      <c r="A45" s="113">
        <v>35796</v>
      </c>
      <c r="B45" s="113" t="e">
        <f t="shared" si="14"/>
        <v>#N/A</v>
      </c>
      <c r="C45" s="108" t="e">
        <f t="shared" si="0"/>
        <v>#N/A</v>
      </c>
      <c r="D45" s="114">
        <f t="shared" si="4"/>
        <v>0</v>
      </c>
      <c r="E45" s="114" t="e">
        <f t="shared" si="15"/>
        <v>#N/A</v>
      </c>
      <c r="F45" s="108" t="e">
        <f t="shared" si="5"/>
        <v>#N/A</v>
      </c>
      <c r="G45" s="114">
        <f t="shared" si="6"/>
        <v>0</v>
      </c>
      <c r="H45" s="110">
        <v>45</v>
      </c>
      <c r="I45" s="115">
        <v>0.0054</v>
      </c>
      <c r="J45" s="116">
        <v>0.0085</v>
      </c>
      <c r="K45" s="115">
        <v>0.011459</v>
      </c>
      <c r="L45" s="116">
        <v>0.0088</v>
      </c>
      <c r="M45" s="117">
        <v>0.0267</v>
      </c>
      <c r="N45" s="118">
        <f>IF(A45&gt;Dados!$C$16,0,IF(A45=Dados!$C$16,1,SUMIF($A$3:$A$500,CONCATENATE("&gt;",TEXT(DATEVALUE(TEXT(A45,"dd/mm/aaaa")),0)),$M$3:$M$500)-SUMIF($A$3:$A$500,CONCATENATE("&gt;",TEXT(Dados!$C$16-1,0)),$M$3:$M$500)+1%))</f>
        <v>0</v>
      </c>
      <c r="O45" s="119">
        <v>0.005</v>
      </c>
      <c r="P45" s="120">
        <f t="shared" si="1"/>
        <v>1.276042</v>
      </c>
      <c r="Q45" s="119">
        <v>0.01</v>
      </c>
      <c r="R45" s="120">
        <f t="shared" si="2"/>
        <v>1.961042</v>
      </c>
      <c r="S45" s="119">
        <v>0.01</v>
      </c>
      <c r="T45" s="120">
        <f t="shared" si="3"/>
        <v>1.491042</v>
      </c>
      <c r="AG45" s="121">
        <f t="shared" si="7"/>
        <v>35796</v>
      </c>
      <c r="AH45" s="121">
        <f t="shared" si="8"/>
        <v>35796</v>
      </c>
      <c r="AI45" s="121">
        <f t="shared" si="9"/>
        <v>35796</v>
      </c>
      <c r="AJ45" s="121">
        <f t="shared" si="10"/>
        <v>35796</v>
      </c>
      <c r="AK45" s="121">
        <f t="shared" si="11"/>
        <v>35796</v>
      </c>
    </row>
    <row r="46" spans="1:37" ht="15">
      <c r="A46" s="113">
        <v>35827</v>
      </c>
      <c r="B46" s="113" t="e">
        <f t="shared" si="14"/>
        <v>#N/A</v>
      </c>
      <c r="C46" s="108" t="e">
        <f t="shared" si="0"/>
        <v>#N/A</v>
      </c>
      <c r="D46" s="114">
        <f t="shared" si="4"/>
        <v>0</v>
      </c>
      <c r="E46" s="114" t="e">
        <f t="shared" si="15"/>
        <v>#N/A</v>
      </c>
      <c r="F46" s="108" t="e">
        <f t="shared" si="5"/>
        <v>#N/A</v>
      </c>
      <c r="G46" s="114">
        <f t="shared" si="6"/>
        <v>0</v>
      </c>
      <c r="H46" s="110">
        <v>46</v>
      </c>
      <c r="I46" s="115">
        <v>0.0064</v>
      </c>
      <c r="J46" s="116">
        <v>0.0054</v>
      </c>
      <c r="K46" s="115">
        <v>0.004461</v>
      </c>
      <c r="L46" s="116">
        <v>0.0002</v>
      </c>
      <c r="M46" s="117">
        <v>0.0213</v>
      </c>
      <c r="N46" s="118">
        <f>IF(A46&gt;Dados!$C$16,0,IF(A46=Dados!$C$16,1,SUMIF($A$3:$A$500,CONCATENATE("&gt;",TEXT(DATEVALUE(TEXT(A46,"dd/mm/aaaa")),0)),$M$3:$M$500)-SUMIF($A$3:$A$500,CONCATENATE("&gt;",TEXT(Dados!$C$16-1,0)),$M$3:$M$500)+1%))</f>
        <v>0</v>
      </c>
      <c r="O46" s="119">
        <v>0.005</v>
      </c>
      <c r="P46" s="120">
        <f t="shared" si="1"/>
        <v>1.271042</v>
      </c>
      <c r="Q46" s="119">
        <v>0.01</v>
      </c>
      <c r="R46" s="120">
        <f t="shared" si="2"/>
        <v>1.951042</v>
      </c>
      <c r="S46" s="119">
        <v>0.01</v>
      </c>
      <c r="T46" s="120">
        <f t="shared" si="3"/>
        <v>1.481042</v>
      </c>
      <c r="AG46" s="121">
        <f t="shared" si="7"/>
        <v>35827</v>
      </c>
      <c r="AH46" s="121">
        <f t="shared" si="8"/>
        <v>35827</v>
      </c>
      <c r="AI46" s="121">
        <f t="shared" si="9"/>
        <v>35827</v>
      </c>
      <c r="AJ46" s="121">
        <f t="shared" si="10"/>
        <v>35827</v>
      </c>
      <c r="AK46" s="121">
        <f t="shared" si="11"/>
        <v>35827</v>
      </c>
    </row>
    <row r="47" spans="1:37" ht="15">
      <c r="A47" s="113">
        <v>35855</v>
      </c>
      <c r="B47" s="113" t="e">
        <f t="shared" si="14"/>
        <v>#N/A</v>
      </c>
      <c r="C47" s="108" t="e">
        <f t="shared" si="0"/>
        <v>#N/A</v>
      </c>
      <c r="D47" s="114">
        <f t="shared" si="4"/>
        <v>0</v>
      </c>
      <c r="E47" s="114" t="e">
        <f t="shared" si="15"/>
        <v>#N/A</v>
      </c>
      <c r="F47" s="108" t="e">
        <f t="shared" si="5"/>
        <v>#N/A</v>
      </c>
      <c r="G47" s="114">
        <f t="shared" si="6"/>
        <v>0</v>
      </c>
      <c r="H47" s="110">
        <v>47</v>
      </c>
      <c r="I47" s="115">
        <v>0.0039</v>
      </c>
      <c r="J47" s="116">
        <v>0.0049</v>
      </c>
      <c r="K47" s="115">
        <v>0.008995</v>
      </c>
      <c r="L47" s="116">
        <v>0.0023</v>
      </c>
      <c r="M47" s="117">
        <v>0.022</v>
      </c>
      <c r="N47" s="118">
        <f>IF(A47&gt;Dados!$C$16,0,IF(A47=Dados!$C$16,1,SUMIF($A$3:$A$500,CONCATENATE("&gt;",TEXT(DATEVALUE(TEXT(A47,"dd/mm/aaaa")),0)),$M$3:$M$500)-SUMIF($A$3:$A$500,CONCATENATE("&gt;",TEXT(Dados!$C$16-1,0)),$M$3:$M$500)+1%))</f>
        <v>0</v>
      </c>
      <c r="O47" s="119">
        <v>0.005</v>
      </c>
      <c r="P47" s="120">
        <f t="shared" si="1"/>
        <v>1.266042</v>
      </c>
      <c r="Q47" s="119">
        <v>0.01</v>
      </c>
      <c r="R47" s="120">
        <f t="shared" si="2"/>
        <v>1.941042</v>
      </c>
      <c r="S47" s="119">
        <v>0.01</v>
      </c>
      <c r="T47" s="120">
        <f t="shared" si="3"/>
        <v>1.471042</v>
      </c>
      <c r="AG47" s="121">
        <f t="shared" si="7"/>
        <v>35855</v>
      </c>
      <c r="AH47" s="121">
        <f t="shared" si="8"/>
        <v>35855</v>
      </c>
      <c r="AI47" s="121">
        <f t="shared" si="9"/>
        <v>35855</v>
      </c>
      <c r="AJ47" s="121">
        <f t="shared" si="10"/>
        <v>35855</v>
      </c>
      <c r="AK47" s="121">
        <f t="shared" si="11"/>
        <v>35855</v>
      </c>
    </row>
    <row r="48" spans="1:37" ht="15">
      <c r="A48" s="113">
        <v>35886</v>
      </c>
      <c r="B48" s="113" t="e">
        <f t="shared" si="14"/>
        <v>#N/A</v>
      </c>
      <c r="C48" s="108" t="e">
        <f t="shared" si="0"/>
        <v>#N/A</v>
      </c>
      <c r="D48" s="114">
        <f t="shared" si="4"/>
        <v>0</v>
      </c>
      <c r="E48" s="114" t="e">
        <f t="shared" si="15"/>
        <v>#N/A</v>
      </c>
      <c r="F48" s="108" t="e">
        <f t="shared" si="5"/>
        <v>#N/A</v>
      </c>
      <c r="G48" s="114">
        <f t="shared" si="6"/>
        <v>0</v>
      </c>
      <c r="H48" s="110">
        <v>48</v>
      </c>
      <c r="I48" s="115">
        <v>0.0022</v>
      </c>
      <c r="J48" s="116">
        <v>0.0045</v>
      </c>
      <c r="K48" s="115">
        <v>0.00472</v>
      </c>
      <c r="L48" s="116">
        <v>-0.0013</v>
      </c>
      <c r="M48" s="117">
        <v>0.0171</v>
      </c>
      <c r="N48" s="118">
        <f>IF(A48&gt;Dados!$C$16,0,IF(A48=Dados!$C$16,1,SUMIF($A$3:$A$500,CONCATENATE("&gt;",TEXT(DATEVALUE(TEXT(A48,"dd/mm/aaaa")),0)),$M$3:$M$500)-SUMIF($A$3:$A$500,CONCATENATE("&gt;",TEXT(Dados!$C$16-1,0)),$M$3:$M$500)+1%))</f>
        <v>0</v>
      </c>
      <c r="O48" s="119">
        <v>0.005</v>
      </c>
      <c r="P48" s="120">
        <f t="shared" si="1"/>
        <v>1.261042</v>
      </c>
      <c r="Q48" s="119">
        <v>0.01</v>
      </c>
      <c r="R48" s="120">
        <f t="shared" si="2"/>
        <v>1.931042</v>
      </c>
      <c r="S48" s="119">
        <v>0.01</v>
      </c>
      <c r="T48" s="120">
        <f t="shared" si="3"/>
        <v>1.461042</v>
      </c>
      <c r="AG48" s="121">
        <f t="shared" si="7"/>
        <v>35886</v>
      </c>
      <c r="AH48" s="121">
        <f t="shared" si="8"/>
        <v>35886</v>
      </c>
      <c r="AI48" s="121">
        <f t="shared" si="9"/>
        <v>35886</v>
      </c>
      <c r="AJ48" s="121">
        <f t="shared" si="10"/>
        <v>35886</v>
      </c>
      <c r="AK48" s="121">
        <f t="shared" si="11"/>
        <v>35886</v>
      </c>
    </row>
    <row r="49" spans="1:37" ht="15">
      <c r="A49" s="113">
        <v>35916</v>
      </c>
      <c r="B49" s="113" t="e">
        <f t="shared" si="14"/>
        <v>#N/A</v>
      </c>
      <c r="C49" s="108" t="e">
        <f t="shared" si="0"/>
        <v>#N/A</v>
      </c>
      <c r="D49" s="114">
        <f t="shared" si="4"/>
        <v>0</v>
      </c>
      <c r="E49" s="114" t="e">
        <f t="shared" si="15"/>
        <v>#N/A</v>
      </c>
      <c r="F49" s="108" t="e">
        <f t="shared" si="5"/>
        <v>#N/A</v>
      </c>
      <c r="G49" s="114">
        <f t="shared" si="6"/>
        <v>0</v>
      </c>
      <c r="H49" s="110">
        <v>49</v>
      </c>
      <c r="I49" s="115">
        <v>0.0041</v>
      </c>
      <c r="J49" s="116">
        <v>0.0072</v>
      </c>
      <c r="K49" s="115">
        <v>0.004543</v>
      </c>
      <c r="L49" s="116">
        <v>0.0023</v>
      </c>
      <c r="M49" s="117">
        <v>0.0163</v>
      </c>
      <c r="N49" s="118">
        <f>IF(A49&gt;Dados!$C$16,0,IF(A49=Dados!$C$16,1,SUMIF($A$3:$A$500,CONCATENATE("&gt;",TEXT(DATEVALUE(TEXT(A49,"dd/mm/aaaa")),0)),$M$3:$M$500)-SUMIF($A$3:$A$500,CONCATENATE("&gt;",TEXT(Dados!$C$16-1,0)),$M$3:$M$500)+1%))</f>
        <v>0</v>
      </c>
      <c r="O49" s="119">
        <v>0.005</v>
      </c>
      <c r="P49" s="120">
        <f t="shared" si="1"/>
        <v>1.256042</v>
      </c>
      <c r="Q49" s="119">
        <v>0.01</v>
      </c>
      <c r="R49" s="120">
        <f t="shared" si="2"/>
        <v>1.921042</v>
      </c>
      <c r="S49" s="119">
        <v>0.01</v>
      </c>
      <c r="T49" s="120">
        <f t="shared" si="3"/>
        <v>1.451042</v>
      </c>
      <c r="AG49" s="121">
        <f t="shared" si="7"/>
        <v>35916</v>
      </c>
      <c r="AH49" s="121">
        <f t="shared" si="8"/>
        <v>35916</v>
      </c>
      <c r="AI49" s="121">
        <f t="shared" si="9"/>
        <v>35916</v>
      </c>
      <c r="AJ49" s="121">
        <f t="shared" si="10"/>
        <v>35916</v>
      </c>
      <c r="AK49" s="121">
        <f t="shared" si="11"/>
        <v>35916</v>
      </c>
    </row>
    <row r="50" spans="1:37" ht="15">
      <c r="A50" s="113">
        <v>35947</v>
      </c>
      <c r="B50" s="113" t="e">
        <f t="shared" si="14"/>
        <v>#N/A</v>
      </c>
      <c r="C50" s="108" t="e">
        <f t="shared" si="0"/>
        <v>#N/A</v>
      </c>
      <c r="D50" s="114">
        <f t="shared" si="4"/>
        <v>0</v>
      </c>
      <c r="E50" s="114" t="e">
        <f t="shared" si="15"/>
        <v>#N/A</v>
      </c>
      <c r="F50" s="108" t="e">
        <f t="shared" si="5"/>
        <v>#N/A</v>
      </c>
      <c r="G50" s="114">
        <f t="shared" si="6"/>
        <v>0</v>
      </c>
      <c r="H50" s="110">
        <v>50</v>
      </c>
      <c r="I50" s="115">
        <v>0.0034</v>
      </c>
      <c r="J50" s="116">
        <v>0.0015</v>
      </c>
      <c r="K50" s="115">
        <v>0.004913</v>
      </c>
      <c r="L50" s="116">
        <v>0.0028</v>
      </c>
      <c r="M50" s="117">
        <v>0.016</v>
      </c>
      <c r="N50" s="118">
        <f>IF(A50&gt;Dados!$C$16,0,IF(A50=Dados!$C$16,1,SUMIF($A$3:$A$500,CONCATENATE("&gt;",TEXT(DATEVALUE(TEXT(A50,"dd/mm/aaaa")),0)),$M$3:$M$500)-SUMIF($A$3:$A$500,CONCATENATE("&gt;",TEXT(Dados!$C$16-1,0)),$M$3:$M$500)+1%))</f>
        <v>0</v>
      </c>
      <c r="O50" s="119">
        <v>0.005</v>
      </c>
      <c r="P50" s="120">
        <f t="shared" si="1"/>
        <v>1.251042</v>
      </c>
      <c r="Q50" s="119">
        <v>0.01</v>
      </c>
      <c r="R50" s="120">
        <f t="shared" si="2"/>
        <v>1.911042</v>
      </c>
      <c r="S50" s="119">
        <v>0.01</v>
      </c>
      <c r="T50" s="120">
        <f t="shared" si="3"/>
        <v>1.441042</v>
      </c>
      <c r="AG50" s="121">
        <f t="shared" si="7"/>
        <v>35947</v>
      </c>
      <c r="AH50" s="121">
        <f t="shared" si="8"/>
        <v>35947</v>
      </c>
      <c r="AI50" s="121">
        <f t="shared" si="9"/>
        <v>35947</v>
      </c>
      <c r="AJ50" s="121">
        <f t="shared" si="10"/>
        <v>35947</v>
      </c>
      <c r="AK50" s="121">
        <f t="shared" si="11"/>
        <v>35947</v>
      </c>
    </row>
    <row r="51" spans="1:37" ht="15">
      <c r="A51" s="113">
        <v>35977</v>
      </c>
      <c r="B51" s="113" t="e">
        <f t="shared" si="14"/>
        <v>#N/A</v>
      </c>
      <c r="C51" s="108" t="e">
        <f t="shared" si="0"/>
        <v>#N/A</v>
      </c>
      <c r="D51" s="114">
        <f t="shared" si="4"/>
        <v>0</v>
      </c>
      <c r="E51" s="114" t="e">
        <f t="shared" si="15"/>
        <v>#N/A</v>
      </c>
      <c r="F51" s="108" t="e">
        <f t="shared" si="5"/>
        <v>#N/A</v>
      </c>
      <c r="G51" s="114">
        <f t="shared" si="6"/>
        <v>0</v>
      </c>
      <c r="H51" s="110">
        <v>51</v>
      </c>
      <c r="I51" s="115">
        <v>-0.0011</v>
      </c>
      <c r="J51" s="116">
        <v>-0.0028</v>
      </c>
      <c r="K51" s="115">
        <v>0.005503</v>
      </c>
      <c r="L51" s="116">
        <v>-0.0038</v>
      </c>
      <c r="M51" s="117">
        <v>0.017</v>
      </c>
      <c r="N51" s="118">
        <f>IF(A51&gt;Dados!$C$16,0,IF(A51=Dados!$C$16,1,SUMIF($A$3:$A$500,CONCATENATE("&gt;",TEXT(DATEVALUE(TEXT(A51,"dd/mm/aaaa")),0)),$M$3:$M$500)-SUMIF($A$3:$A$500,CONCATENATE("&gt;",TEXT(Dados!$C$16-1,0)),$M$3:$M$500)+1%))</f>
        <v>0</v>
      </c>
      <c r="O51" s="119">
        <v>0.005</v>
      </c>
      <c r="P51" s="120">
        <f t="shared" si="1"/>
        <v>1.246042</v>
      </c>
      <c r="Q51" s="119">
        <v>0.01</v>
      </c>
      <c r="R51" s="120">
        <f t="shared" si="2"/>
        <v>1.901042</v>
      </c>
      <c r="S51" s="119">
        <v>0.01</v>
      </c>
      <c r="T51" s="120">
        <f t="shared" si="3"/>
        <v>1.431042</v>
      </c>
      <c r="AG51" s="121">
        <f t="shared" si="7"/>
        <v>35977</v>
      </c>
      <c r="AH51" s="121">
        <f t="shared" si="8"/>
        <v>35977</v>
      </c>
      <c r="AI51" s="121">
        <f t="shared" si="9"/>
        <v>35977</v>
      </c>
      <c r="AJ51" s="121">
        <f t="shared" si="10"/>
        <v>35977</v>
      </c>
      <c r="AK51" s="121">
        <f t="shared" si="11"/>
        <v>35977</v>
      </c>
    </row>
    <row r="52" spans="1:37" ht="15">
      <c r="A52" s="113">
        <v>36008</v>
      </c>
      <c r="B52" s="113" t="e">
        <f t="shared" si="14"/>
        <v>#N/A</v>
      </c>
      <c r="C52" s="108" t="e">
        <f t="shared" si="0"/>
        <v>#N/A</v>
      </c>
      <c r="D52" s="114">
        <f t="shared" si="4"/>
        <v>0</v>
      </c>
      <c r="E52" s="114" t="e">
        <f t="shared" si="15"/>
        <v>#N/A</v>
      </c>
      <c r="F52" s="108" t="e">
        <f t="shared" si="5"/>
        <v>#N/A</v>
      </c>
      <c r="G52" s="114">
        <f t="shared" si="6"/>
        <v>0</v>
      </c>
      <c r="H52" s="110">
        <v>52</v>
      </c>
      <c r="I52" s="115">
        <v>-0.0037</v>
      </c>
      <c r="J52" s="116">
        <v>-0.0049</v>
      </c>
      <c r="K52" s="115">
        <v>0.003749</v>
      </c>
      <c r="L52" s="116">
        <v>-0.0017</v>
      </c>
      <c r="M52" s="117">
        <v>0.0148</v>
      </c>
      <c r="N52" s="118">
        <f>IF(A52&gt;Dados!$C$16,0,IF(A52=Dados!$C$16,1,SUMIF($A$3:$A$500,CONCATENATE("&gt;",TEXT(DATEVALUE(TEXT(A52,"dd/mm/aaaa")),0)),$M$3:$M$500)-SUMIF($A$3:$A$500,CONCATENATE("&gt;",TEXT(Dados!$C$16-1,0)),$M$3:$M$500)+1%))</f>
        <v>0</v>
      </c>
      <c r="O52" s="119">
        <v>0.005</v>
      </c>
      <c r="P52" s="120">
        <f t="shared" si="1"/>
        <v>1.241042</v>
      </c>
      <c r="Q52" s="119">
        <v>0.01</v>
      </c>
      <c r="R52" s="120">
        <f t="shared" si="2"/>
        <v>1.891042</v>
      </c>
      <c r="S52" s="119">
        <v>0.01</v>
      </c>
      <c r="T52" s="120">
        <f t="shared" si="3"/>
        <v>1.421042</v>
      </c>
      <c r="AG52" s="121">
        <f t="shared" si="7"/>
        <v>36008</v>
      </c>
      <c r="AH52" s="121">
        <f t="shared" si="8"/>
        <v>36008</v>
      </c>
      <c r="AI52" s="121">
        <f t="shared" si="9"/>
        <v>36008</v>
      </c>
      <c r="AJ52" s="121">
        <f t="shared" si="10"/>
        <v>36008</v>
      </c>
      <c r="AK52" s="121">
        <f t="shared" si="11"/>
        <v>36008</v>
      </c>
    </row>
    <row r="53" spans="1:37" ht="15">
      <c r="A53" s="113">
        <v>36039</v>
      </c>
      <c r="B53" s="113" t="e">
        <f t="shared" si="14"/>
        <v>#N/A</v>
      </c>
      <c r="C53" s="108" t="e">
        <f t="shared" si="0"/>
        <v>#N/A</v>
      </c>
      <c r="D53" s="114">
        <f t="shared" si="4"/>
        <v>0</v>
      </c>
      <c r="E53" s="114" t="e">
        <f t="shared" si="15"/>
        <v>#N/A</v>
      </c>
      <c r="F53" s="108" t="e">
        <f t="shared" si="5"/>
        <v>#N/A</v>
      </c>
      <c r="G53" s="114">
        <f t="shared" si="6"/>
        <v>0</v>
      </c>
      <c r="H53" s="110">
        <v>53</v>
      </c>
      <c r="I53" s="115">
        <v>-0.0041</v>
      </c>
      <c r="J53" s="116">
        <v>-0.0031</v>
      </c>
      <c r="K53" s="115">
        <v>0.004512</v>
      </c>
      <c r="L53" s="116">
        <v>-0.0002</v>
      </c>
      <c r="M53" s="117">
        <v>0.0249</v>
      </c>
      <c r="N53" s="118">
        <f>IF(A53&gt;Dados!$C$16,0,IF(A53=Dados!$C$16,1,SUMIF($A$3:$A$500,CONCATENATE("&gt;",TEXT(DATEVALUE(TEXT(A53,"dd/mm/aaaa")),0)),$M$3:$M$500)-SUMIF($A$3:$A$500,CONCATENATE("&gt;",TEXT(Dados!$C$16-1,0)),$M$3:$M$500)+1%))</f>
        <v>0</v>
      </c>
      <c r="O53" s="119">
        <v>0.005</v>
      </c>
      <c r="P53" s="120">
        <f t="shared" si="1"/>
        <v>1.236042</v>
      </c>
      <c r="Q53" s="119">
        <v>0.01</v>
      </c>
      <c r="R53" s="120">
        <f t="shared" si="2"/>
        <v>1.881042</v>
      </c>
      <c r="S53" s="119">
        <v>0.01</v>
      </c>
      <c r="T53" s="120">
        <f t="shared" si="3"/>
        <v>1.411042</v>
      </c>
      <c r="AG53" s="121">
        <f t="shared" si="7"/>
        <v>36039</v>
      </c>
      <c r="AH53" s="121">
        <f t="shared" si="8"/>
        <v>36039</v>
      </c>
      <c r="AI53" s="121">
        <f t="shared" si="9"/>
        <v>36039</v>
      </c>
      <c r="AJ53" s="121">
        <f t="shared" si="10"/>
        <v>36039</v>
      </c>
      <c r="AK53" s="121">
        <f t="shared" si="11"/>
        <v>36039</v>
      </c>
    </row>
    <row r="54" spans="1:37" ht="15">
      <c r="A54" s="113">
        <v>36069</v>
      </c>
      <c r="B54" s="113" t="e">
        <f t="shared" si="14"/>
        <v>#N/A</v>
      </c>
      <c r="C54" s="108" t="e">
        <f t="shared" si="0"/>
        <v>#N/A</v>
      </c>
      <c r="D54" s="114">
        <f t="shared" si="4"/>
        <v>0</v>
      </c>
      <c r="E54" s="114" t="e">
        <f t="shared" si="15"/>
        <v>#N/A</v>
      </c>
      <c r="F54" s="108" t="e">
        <f t="shared" si="5"/>
        <v>#N/A</v>
      </c>
      <c r="G54" s="114">
        <f t="shared" si="6"/>
        <v>0</v>
      </c>
      <c r="H54" s="110">
        <v>54</v>
      </c>
      <c r="I54" s="115">
        <v>0.0001</v>
      </c>
      <c r="J54" s="116">
        <v>0.0011</v>
      </c>
      <c r="K54" s="115">
        <v>0.008892</v>
      </c>
      <c r="L54" s="116">
        <v>-0.0003</v>
      </c>
      <c r="M54" s="117">
        <v>0.0294</v>
      </c>
      <c r="N54" s="118">
        <f>IF(A54&gt;Dados!$C$16,0,IF(A54=Dados!$C$16,1,SUMIF($A$3:$A$500,CONCATENATE("&gt;",TEXT(DATEVALUE(TEXT(A54,"dd/mm/aaaa")),0)),$M$3:$M$500)-SUMIF($A$3:$A$500,CONCATENATE("&gt;",TEXT(Dados!$C$16-1,0)),$M$3:$M$500)+1%))</f>
        <v>0</v>
      </c>
      <c r="O54" s="119">
        <v>0.005</v>
      </c>
      <c r="P54" s="120">
        <f t="shared" si="1"/>
        <v>1.231042</v>
      </c>
      <c r="Q54" s="119">
        <v>0.01</v>
      </c>
      <c r="R54" s="120">
        <f t="shared" si="2"/>
        <v>1.871042</v>
      </c>
      <c r="S54" s="119">
        <v>0.01</v>
      </c>
      <c r="T54" s="120">
        <f t="shared" si="3"/>
        <v>1.401042</v>
      </c>
      <c r="AG54" s="121">
        <f t="shared" si="7"/>
        <v>36069</v>
      </c>
      <c r="AH54" s="121">
        <f t="shared" si="8"/>
        <v>36069</v>
      </c>
      <c r="AI54" s="121">
        <f t="shared" si="9"/>
        <v>36069</v>
      </c>
      <c r="AJ54" s="121">
        <f t="shared" si="10"/>
        <v>36069</v>
      </c>
      <c r="AK54" s="121">
        <f t="shared" si="11"/>
        <v>36069</v>
      </c>
    </row>
    <row r="55" spans="1:37" ht="15">
      <c r="A55" s="113">
        <v>36100</v>
      </c>
      <c r="B55" s="113" t="e">
        <f t="shared" si="14"/>
        <v>#N/A</v>
      </c>
      <c r="C55" s="108" t="e">
        <f t="shared" si="0"/>
        <v>#N/A</v>
      </c>
      <c r="D55" s="114">
        <f t="shared" si="4"/>
        <v>0</v>
      </c>
      <c r="E55" s="114" t="e">
        <f t="shared" si="15"/>
        <v>#N/A</v>
      </c>
      <c r="F55" s="108" t="e">
        <f t="shared" si="5"/>
        <v>#N/A</v>
      </c>
      <c r="G55" s="114">
        <f t="shared" si="6"/>
        <v>0</v>
      </c>
      <c r="H55" s="110">
        <v>55</v>
      </c>
      <c r="I55" s="115">
        <v>-0.0011</v>
      </c>
      <c r="J55" s="116">
        <v>-0.0018</v>
      </c>
      <c r="K55" s="115">
        <v>0.006136</v>
      </c>
      <c r="L55" s="116">
        <v>-0.0018</v>
      </c>
      <c r="M55" s="117">
        <v>0.0263</v>
      </c>
      <c r="N55" s="118">
        <f>IF(A55&gt;Dados!$C$16,0,IF(A55=Dados!$C$16,1,SUMIF($A$3:$A$500,CONCATENATE("&gt;",TEXT(DATEVALUE(TEXT(A55,"dd/mm/aaaa")),0)),$M$3:$M$500)-SUMIF($A$3:$A$500,CONCATENATE("&gt;",TEXT(Dados!$C$16-1,0)),$M$3:$M$500)+1%))</f>
        <v>0</v>
      </c>
      <c r="O55" s="119">
        <v>0.005</v>
      </c>
      <c r="P55" s="120">
        <f t="shared" si="1"/>
        <v>1.226042</v>
      </c>
      <c r="Q55" s="119">
        <v>0.01</v>
      </c>
      <c r="R55" s="120">
        <f t="shared" si="2"/>
        <v>1.861042</v>
      </c>
      <c r="S55" s="119">
        <v>0.01</v>
      </c>
      <c r="T55" s="120">
        <f t="shared" si="3"/>
        <v>1.391042</v>
      </c>
      <c r="AG55" s="121">
        <f t="shared" si="7"/>
        <v>36100</v>
      </c>
      <c r="AH55" s="121">
        <f t="shared" si="8"/>
        <v>36100</v>
      </c>
      <c r="AI55" s="121">
        <f t="shared" si="9"/>
        <v>36100</v>
      </c>
      <c r="AJ55" s="121">
        <f t="shared" si="10"/>
        <v>36100</v>
      </c>
      <c r="AK55" s="121">
        <f t="shared" si="11"/>
        <v>36100</v>
      </c>
    </row>
    <row r="56" spans="1:37" ht="15">
      <c r="A56" s="113">
        <v>36130</v>
      </c>
      <c r="B56" s="113" t="e">
        <f t="shared" si="14"/>
        <v>#N/A</v>
      </c>
      <c r="C56" s="108" t="e">
        <f t="shared" si="0"/>
        <v>#N/A</v>
      </c>
      <c r="D56" s="114">
        <f t="shared" si="4"/>
        <v>0</v>
      </c>
      <c r="E56" s="114" t="e">
        <f t="shared" si="15"/>
        <v>#N/A</v>
      </c>
      <c r="F56" s="108" t="e">
        <f t="shared" si="5"/>
        <v>#N/A</v>
      </c>
      <c r="G56" s="114">
        <f t="shared" si="6"/>
        <v>0</v>
      </c>
      <c r="H56" s="110">
        <v>56</v>
      </c>
      <c r="I56" s="115">
        <v>0.0013</v>
      </c>
      <c r="J56" s="116">
        <v>0.0042</v>
      </c>
      <c r="K56" s="115">
        <v>0.007434</v>
      </c>
      <c r="L56" s="116">
        <v>0.0098</v>
      </c>
      <c r="M56" s="117">
        <v>0.024</v>
      </c>
      <c r="N56" s="118">
        <f>IF(A56&gt;Dados!$C$16,0,IF(A56=Dados!$C$16,1,SUMIF($A$3:$A$500,CONCATENATE("&gt;",TEXT(DATEVALUE(TEXT(A56,"dd/mm/aaaa")),0)),$M$3:$M$500)-SUMIF($A$3:$A$500,CONCATENATE("&gt;",TEXT(Dados!$C$16-1,0)),$M$3:$M$500)+1%))</f>
        <v>0</v>
      </c>
      <c r="O56" s="119">
        <v>0.005</v>
      </c>
      <c r="P56" s="120">
        <f t="shared" si="1"/>
        <v>1.221042</v>
      </c>
      <c r="Q56" s="119">
        <v>0.01</v>
      </c>
      <c r="R56" s="120">
        <f t="shared" si="2"/>
        <v>1.851042</v>
      </c>
      <c r="S56" s="119">
        <v>0.01</v>
      </c>
      <c r="T56" s="120">
        <f t="shared" si="3"/>
        <v>1.381042</v>
      </c>
      <c r="AG56" s="121">
        <f t="shared" si="7"/>
        <v>36130</v>
      </c>
      <c r="AH56" s="121">
        <f t="shared" si="8"/>
        <v>36130</v>
      </c>
      <c r="AI56" s="121">
        <f t="shared" si="9"/>
        <v>36130</v>
      </c>
      <c r="AJ56" s="121">
        <f t="shared" si="10"/>
        <v>36130</v>
      </c>
      <c r="AK56" s="121">
        <f t="shared" si="11"/>
        <v>36130</v>
      </c>
    </row>
    <row r="57" spans="1:37" ht="15">
      <c r="A57" s="113">
        <v>36161</v>
      </c>
      <c r="B57" s="113" t="e">
        <f t="shared" si="14"/>
        <v>#N/A</v>
      </c>
      <c r="C57" s="108" t="e">
        <f t="shared" si="0"/>
        <v>#N/A</v>
      </c>
      <c r="D57" s="114">
        <f t="shared" si="4"/>
        <v>0</v>
      </c>
      <c r="E57" s="114" t="e">
        <f t="shared" si="15"/>
        <v>#N/A</v>
      </c>
      <c r="F57" s="108" t="e">
        <f t="shared" si="5"/>
        <v>#N/A</v>
      </c>
      <c r="G57" s="114">
        <f t="shared" si="6"/>
        <v>0</v>
      </c>
      <c r="H57" s="110">
        <v>57</v>
      </c>
      <c r="I57" s="115">
        <v>0.0068</v>
      </c>
      <c r="J57" s="116">
        <v>0.0065</v>
      </c>
      <c r="K57" s="115">
        <v>0.005163</v>
      </c>
      <c r="L57" s="116">
        <v>0.0115</v>
      </c>
      <c r="M57" s="117">
        <v>0.0218</v>
      </c>
      <c r="N57" s="118">
        <f>IF(A57&gt;Dados!$C$16,0,IF(A57=Dados!$C$16,1,SUMIF($A$3:$A$500,CONCATENATE("&gt;",TEXT(DATEVALUE(TEXT(A57,"dd/mm/aaaa")),0)),$M$3:$M$500)-SUMIF($A$3:$A$500,CONCATENATE("&gt;",TEXT(Dados!$C$16-1,0)),$M$3:$M$500)+1%))</f>
        <v>0</v>
      </c>
      <c r="O57" s="119">
        <v>0.005</v>
      </c>
      <c r="P57" s="120">
        <f t="shared" si="1"/>
        <v>1.216042</v>
      </c>
      <c r="Q57" s="119">
        <v>0.01</v>
      </c>
      <c r="R57" s="120">
        <f t="shared" si="2"/>
        <v>1.841042</v>
      </c>
      <c r="S57" s="119">
        <v>0.01</v>
      </c>
      <c r="T57" s="120">
        <f t="shared" si="3"/>
        <v>1.371042</v>
      </c>
      <c r="AG57" s="121">
        <f t="shared" si="7"/>
        <v>36161</v>
      </c>
      <c r="AH57" s="121">
        <f t="shared" si="8"/>
        <v>36161</v>
      </c>
      <c r="AI57" s="121">
        <f t="shared" si="9"/>
        <v>36161</v>
      </c>
      <c r="AJ57" s="121">
        <f t="shared" si="10"/>
        <v>36161</v>
      </c>
      <c r="AK57" s="121">
        <f t="shared" si="11"/>
        <v>36161</v>
      </c>
    </row>
    <row r="58" spans="1:37" ht="15">
      <c r="A58" s="113">
        <v>36192</v>
      </c>
      <c r="B58" s="113" t="e">
        <f t="shared" si="14"/>
        <v>#N/A</v>
      </c>
      <c r="C58" s="108" t="e">
        <f t="shared" si="0"/>
        <v>#N/A</v>
      </c>
      <c r="D58" s="114">
        <f t="shared" si="4"/>
        <v>0</v>
      </c>
      <c r="E58" s="114" t="e">
        <f t="shared" si="15"/>
        <v>#N/A</v>
      </c>
      <c r="F58" s="108" t="e">
        <f t="shared" si="5"/>
        <v>#N/A</v>
      </c>
      <c r="G58" s="114">
        <f t="shared" si="6"/>
        <v>0</v>
      </c>
      <c r="H58" s="110">
        <v>58</v>
      </c>
      <c r="I58" s="115">
        <v>0.0064</v>
      </c>
      <c r="J58" s="116">
        <v>0.0129</v>
      </c>
      <c r="K58" s="115">
        <v>0.008298</v>
      </c>
      <c r="L58" s="116">
        <v>0.0444</v>
      </c>
      <c r="M58" s="117">
        <v>0.0238</v>
      </c>
      <c r="N58" s="118">
        <f>IF(A58&gt;Dados!$C$16,0,IF(A58=Dados!$C$16,1,SUMIF($A$3:$A$500,CONCATENATE("&gt;",TEXT(DATEVALUE(TEXT(A58,"dd/mm/aaaa")),0)),$M$3:$M$500)-SUMIF($A$3:$A$500,CONCATENATE("&gt;",TEXT(Dados!$C$16-1,0)),$M$3:$M$500)+1%))</f>
        <v>0</v>
      </c>
      <c r="O58" s="119">
        <v>0.005</v>
      </c>
      <c r="P58" s="120">
        <f t="shared" si="1"/>
        <v>1.211042</v>
      </c>
      <c r="Q58" s="119">
        <v>0.01</v>
      </c>
      <c r="R58" s="120">
        <f t="shared" si="2"/>
        <v>1.831042</v>
      </c>
      <c r="S58" s="119">
        <v>0.01</v>
      </c>
      <c r="T58" s="120">
        <f t="shared" si="3"/>
        <v>1.361042</v>
      </c>
      <c r="AG58" s="121">
        <f t="shared" si="7"/>
        <v>36192</v>
      </c>
      <c r="AH58" s="121">
        <f t="shared" si="8"/>
        <v>36192</v>
      </c>
      <c r="AI58" s="121">
        <f t="shared" si="9"/>
        <v>36192</v>
      </c>
      <c r="AJ58" s="121">
        <f t="shared" si="10"/>
        <v>36192</v>
      </c>
      <c r="AK58" s="121">
        <f t="shared" si="11"/>
        <v>36192</v>
      </c>
    </row>
    <row r="59" spans="1:37" ht="15">
      <c r="A59" s="113">
        <v>36220</v>
      </c>
      <c r="B59" s="113" t="e">
        <f t="shared" si="14"/>
        <v>#N/A</v>
      </c>
      <c r="C59" s="108" t="e">
        <f t="shared" si="0"/>
        <v>#N/A</v>
      </c>
      <c r="D59" s="114">
        <f t="shared" si="4"/>
        <v>0</v>
      </c>
      <c r="E59" s="114" t="e">
        <f t="shared" si="15"/>
        <v>#N/A</v>
      </c>
      <c r="F59" s="108" t="e">
        <f t="shared" si="5"/>
        <v>#N/A</v>
      </c>
      <c r="G59" s="114">
        <f t="shared" si="6"/>
        <v>0</v>
      </c>
      <c r="H59" s="110">
        <v>59</v>
      </c>
      <c r="I59" s="115">
        <v>0.0122</v>
      </c>
      <c r="J59" s="116">
        <v>0.0128</v>
      </c>
      <c r="K59" s="115">
        <v>0.011614</v>
      </c>
      <c r="L59" s="116">
        <v>0.0198</v>
      </c>
      <c r="M59" s="117">
        <v>0.0333</v>
      </c>
      <c r="N59" s="118">
        <f>IF(A59&gt;Dados!$C$16,0,IF(A59=Dados!$C$16,1,SUMIF($A$3:$A$500,CONCATENATE("&gt;",TEXT(DATEVALUE(TEXT(A59,"dd/mm/aaaa")),0)),$M$3:$M$500)-SUMIF($A$3:$A$500,CONCATENATE("&gt;",TEXT(Dados!$C$16-1,0)),$M$3:$M$500)+1%))</f>
        <v>0</v>
      </c>
      <c r="O59" s="119">
        <v>0.005</v>
      </c>
      <c r="P59" s="120">
        <f t="shared" si="1"/>
        <v>1.206042</v>
      </c>
      <c r="Q59" s="119">
        <v>0.01</v>
      </c>
      <c r="R59" s="120">
        <f t="shared" si="2"/>
        <v>1.821042</v>
      </c>
      <c r="S59" s="119">
        <v>0.01</v>
      </c>
      <c r="T59" s="120">
        <f t="shared" si="3"/>
        <v>1.351042</v>
      </c>
      <c r="AG59" s="121">
        <f t="shared" si="7"/>
        <v>36220</v>
      </c>
      <c r="AH59" s="121">
        <f t="shared" si="8"/>
        <v>36220</v>
      </c>
      <c r="AI59" s="121">
        <f t="shared" si="9"/>
        <v>36220</v>
      </c>
      <c r="AJ59" s="121">
        <f t="shared" si="10"/>
        <v>36220</v>
      </c>
      <c r="AK59" s="121">
        <f t="shared" si="11"/>
        <v>36220</v>
      </c>
    </row>
    <row r="60" spans="1:37" ht="15">
      <c r="A60" s="113">
        <v>36251</v>
      </c>
      <c r="B60" s="113" t="e">
        <f t="shared" si="14"/>
        <v>#N/A</v>
      </c>
      <c r="C60" s="108" t="e">
        <f t="shared" si="0"/>
        <v>#N/A</v>
      </c>
      <c r="D60" s="114">
        <f t="shared" si="4"/>
        <v>0</v>
      </c>
      <c r="E60" s="114" t="e">
        <f t="shared" si="15"/>
        <v>#N/A</v>
      </c>
      <c r="F60" s="108" t="e">
        <f t="shared" si="5"/>
        <v>#N/A</v>
      </c>
      <c r="G60" s="114">
        <f t="shared" si="6"/>
        <v>0</v>
      </c>
      <c r="H60" s="110">
        <v>60</v>
      </c>
      <c r="I60" s="115">
        <v>0.0078</v>
      </c>
      <c r="J60" s="116">
        <v>0.0047</v>
      </c>
      <c r="K60" s="115">
        <v>0.006092</v>
      </c>
      <c r="L60" s="116">
        <v>0.0003</v>
      </c>
      <c r="M60" s="117">
        <v>0.0235</v>
      </c>
      <c r="N60" s="118">
        <f>IF(A60&gt;Dados!$C$16,0,IF(A60=Dados!$C$16,1,SUMIF($A$3:$A$500,CONCATENATE("&gt;",TEXT(DATEVALUE(TEXT(A60,"dd/mm/aaaa")),0)),$M$3:$M$500)-SUMIF($A$3:$A$500,CONCATENATE("&gt;",TEXT(Dados!$C$16-1,0)),$M$3:$M$500)+1%))</f>
        <v>0</v>
      </c>
      <c r="O60" s="119">
        <v>0.005</v>
      </c>
      <c r="P60" s="120">
        <f t="shared" si="1"/>
        <v>1.201042</v>
      </c>
      <c r="Q60" s="119">
        <v>0.01</v>
      </c>
      <c r="R60" s="120">
        <f t="shared" si="2"/>
        <v>1.811042</v>
      </c>
      <c r="S60" s="119">
        <v>0.01</v>
      </c>
      <c r="T60" s="120">
        <f t="shared" si="3"/>
        <v>1.341042</v>
      </c>
      <c r="AG60" s="121">
        <f t="shared" si="7"/>
        <v>36251</v>
      </c>
      <c r="AH60" s="121">
        <f t="shared" si="8"/>
        <v>36251</v>
      </c>
      <c r="AI60" s="121">
        <f t="shared" si="9"/>
        <v>36251</v>
      </c>
      <c r="AJ60" s="121">
        <f t="shared" si="10"/>
        <v>36251</v>
      </c>
      <c r="AK60" s="121">
        <f t="shared" si="11"/>
        <v>36251</v>
      </c>
    </row>
    <row r="61" spans="1:37" ht="15">
      <c r="A61" s="113">
        <v>36281</v>
      </c>
      <c r="B61" s="113" t="e">
        <f t="shared" si="14"/>
        <v>#N/A</v>
      </c>
      <c r="C61" s="108" t="e">
        <f t="shared" si="0"/>
        <v>#N/A</v>
      </c>
      <c r="D61" s="114">
        <f t="shared" si="4"/>
        <v>0</v>
      </c>
      <c r="E61" s="114" t="e">
        <f t="shared" si="15"/>
        <v>#N/A</v>
      </c>
      <c r="F61" s="108" t="e">
        <f t="shared" si="5"/>
        <v>#N/A</v>
      </c>
      <c r="G61" s="114">
        <f t="shared" si="6"/>
        <v>0</v>
      </c>
      <c r="H61" s="110">
        <v>61</v>
      </c>
      <c r="I61" s="115">
        <v>0.0051</v>
      </c>
      <c r="J61" s="116">
        <v>0.0005</v>
      </c>
      <c r="K61" s="115">
        <v>0.005761</v>
      </c>
      <c r="L61" s="116">
        <v>-0.0034</v>
      </c>
      <c r="M61" s="117">
        <v>0.0202</v>
      </c>
      <c r="N61" s="118">
        <f>IF(A61&gt;Dados!$C$16,0,IF(A61=Dados!$C$16,1,SUMIF($A$3:$A$500,CONCATENATE("&gt;",TEXT(DATEVALUE(TEXT(A61,"dd/mm/aaaa")),0)),$M$3:$M$500)-SUMIF($A$3:$A$500,CONCATENATE("&gt;",TEXT(Dados!$C$16-1,0)),$M$3:$M$500)+1%))</f>
        <v>0</v>
      </c>
      <c r="O61" s="119">
        <v>0.005</v>
      </c>
      <c r="P61" s="120">
        <f t="shared" si="1"/>
        <v>1.196042</v>
      </c>
      <c r="Q61" s="119">
        <v>0.01</v>
      </c>
      <c r="R61" s="120">
        <f t="shared" si="2"/>
        <v>1.801042</v>
      </c>
      <c r="S61" s="119">
        <v>0.01</v>
      </c>
      <c r="T61" s="120">
        <f t="shared" si="3"/>
        <v>1.331042</v>
      </c>
      <c r="AG61" s="121">
        <f t="shared" si="7"/>
        <v>36281</v>
      </c>
      <c r="AH61" s="121">
        <f t="shared" si="8"/>
        <v>36281</v>
      </c>
      <c r="AI61" s="121">
        <f t="shared" si="9"/>
        <v>36281</v>
      </c>
      <c r="AJ61" s="121">
        <f t="shared" si="10"/>
        <v>36281</v>
      </c>
      <c r="AK61" s="121">
        <f t="shared" si="11"/>
        <v>36281</v>
      </c>
    </row>
    <row r="62" spans="1:37" ht="15">
      <c r="A62" s="113">
        <v>36312</v>
      </c>
      <c r="B62" s="113" t="e">
        <f t="shared" si="14"/>
        <v>#N/A</v>
      </c>
      <c r="C62" s="108" t="e">
        <f t="shared" si="0"/>
        <v>#N/A</v>
      </c>
      <c r="D62" s="114">
        <f t="shared" si="4"/>
        <v>0</v>
      </c>
      <c r="E62" s="114" t="e">
        <f t="shared" si="15"/>
        <v>#N/A</v>
      </c>
      <c r="F62" s="108" t="e">
        <f t="shared" si="5"/>
        <v>#N/A</v>
      </c>
      <c r="G62" s="114">
        <f t="shared" si="6"/>
        <v>0</v>
      </c>
      <c r="H62" s="110">
        <v>62</v>
      </c>
      <c r="I62" s="115">
        <v>-0.0002</v>
      </c>
      <c r="J62" s="116">
        <v>0.0007</v>
      </c>
      <c r="K62" s="115">
        <v>0.003108</v>
      </c>
      <c r="L62" s="116">
        <v>0.0102</v>
      </c>
      <c r="M62" s="117">
        <v>0.0167</v>
      </c>
      <c r="N62" s="118">
        <f>IF(A62&gt;Dados!$C$16,0,IF(A62=Dados!$C$16,1,SUMIF($A$3:$A$500,CONCATENATE("&gt;",TEXT(DATEVALUE(TEXT(A62,"dd/mm/aaaa")),0)),$M$3:$M$500)-SUMIF($A$3:$A$500,CONCATENATE("&gt;",TEXT(Dados!$C$16-1,0)),$M$3:$M$500)+1%))</f>
        <v>0</v>
      </c>
      <c r="O62" s="119">
        <v>0.005</v>
      </c>
      <c r="P62" s="120">
        <f t="shared" si="1"/>
        <v>1.191042</v>
      </c>
      <c r="Q62" s="119">
        <v>0.01</v>
      </c>
      <c r="R62" s="120">
        <f t="shared" si="2"/>
        <v>1.791042</v>
      </c>
      <c r="S62" s="119">
        <v>0.01</v>
      </c>
      <c r="T62" s="120">
        <f t="shared" si="3"/>
        <v>1.321042</v>
      </c>
      <c r="AG62" s="121">
        <f t="shared" si="7"/>
        <v>36312</v>
      </c>
      <c r="AH62" s="121">
        <f t="shared" si="8"/>
        <v>36312</v>
      </c>
      <c r="AI62" s="121">
        <f t="shared" si="9"/>
        <v>36312</v>
      </c>
      <c r="AJ62" s="121">
        <f t="shared" si="10"/>
        <v>36312</v>
      </c>
      <c r="AK62" s="121">
        <f t="shared" si="11"/>
        <v>36312</v>
      </c>
    </row>
    <row r="63" spans="1:37" ht="15">
      <c r="A63" s="113">
        <v>36342</v>
      </c>
      <c r="B63" s="113" t="e">
        <f t="shared" si="14"/>
        <v>#N/A</v>
      </c>
      <c r="C63" s="108" t="e">
        <f t="shared" si="0"/>
        <v>#N/A</v>
      </c>
      <c r="D63" s="114">
        <f t="shared" si="4"/>
        <v>0</v>
      </c>
      <c r="E63" s="114" t="e">
        <f t="shared" si="15"/>
        <v>#N/A</v>
      </c>
      <c r="F63" s="108" t="e">
        <f t="shared" si="5"/>
        <v>#N/A</v>
      </c>
      <c r="G63" s="114">
        <f t="shared" si="6"/>
        <v>0</v>
      </c>
      <c r="H63" s="110">
        <v>63</v>
      </c>
      <c r="I63" s="115">
        <v>0.0079</v>
      </c>
      <c r="J63" s="116">
        <v>0.0074</v>
      </c>
      <c r="K63" s="115">
        <v>0.002933</v>
      </c>
      <c r="L63" s="116">
        <v>0.0159</v>
      </c>
      <c r="M63" s="117">
        <v>0.0166</v>
      </c>
      <c r="N63" s="118">
        <f>IF(A63&gt;Dados!$C$16,0,IF(A63=Dados!$C$16,1,SUMIF($A$3:$A$500,CONCATENATE("&gt;",TEXT(DATEVALUE(TEXT(A63,"dd/mm/aaaa")),0)),$M$3:$M$500)-SUMIF($A$3:$A$500,CONCATENATE("&gt;",TEXT(Dados!$C$16-1,0)),$M$3:$M$500)+1%))</f>
        <v>0</v>
      </c>
      <c r="O63" s="119">
        <v>0.005</v>
      </c>
      <c r="P63" s="120">
        <f t="shared" si="1"/>
        <v>1.186042</v>
      </c>
      <c r="Q63" s="119">
        <v>0.01</v>
      </c>
      <c r="R63" s="120">
        <f t="shared" si="2"/>
        <v>1.781042</v>
      </c>
      <c r="S63" s="119">
        <v>0.01</v>
      </c>
      <c r="T63" s="120">
        <f t="shared" si="3"/>
        <v>1.311042</v>
      </c>
      <c r="AG63" s="121">
        <f t="shared" si="7"/>
        <v>36342</v>
      </c>
      <c r="AH63" s="121">
        <f t="shared" si="8"/>
        <v>36342</v>
      </c>
      <c r="AI63" s="121">
        <f t="shared" si="9"/>
        <v>36342</v>
      </c>
      <c r="AJ63" s="121">
        <f t="shared" si="10"/>
        <v>36342</v>
      </c>
      <c r="AK63" s="121">
        <f t="shared" si="11"/>
        <v>36342</v>
      </c>
    </row>
    <row r="64" spans="1:37" ht="15">
      <c r="A64" s="113">
        <v>36373</v>
      </c>
      <c r="B64" s="113" t="e">
        <f t="shared" si="14"/>
        <v>#N/A</v>
      </c>
      <c r="C64" s="108" t="e">
        <f t="shared" si="0"/>
        <v>#N/A</v>
      </c>
      <c r="D64" s="114">
        <f t="shared" si="4"/>
        <v>0</v>
      </c>
      <c r="E64" s="114" t="e">
        <f t="shared" si="15"/>
        <v>#N/A</v>
      </c>
      <c r="F64" s="108" t="e">
        <f t="shared" si="5"/>
        <v>#N/A</v>
      </c>
      <c r="G64" s="114">
        <f t="shared" si="6"/>
        <v>0</v>
      </c>
      <c r="H64" s="110">
        <v>64</v>
      </c>
      <c r="I64" s="115">
        <v>0.0081</v>
      </c>
      <c r="J64" s="116">
        <v>0.0055</v>
      </c>
      <c r="K64" s="115">
        <v>0.002945</v>
      </c>
      <c r="L64" s="116">
        <v>0.0145</v>
      </c>
      <c r="M64" s="117">
        <v>0.0157</v>
      </c>
      <c r="N64" s="118">
        <f>IF(A64&gt;Dados!$C$16,0,IF(A64=Dados!$C$16,1,SUMIF($A$3:$A$500,CONCATENATE("&gt;",TEXT(DATEVALUE(TEXT(A64,"dd/mm/aaaa")),0)),$M$3:$M$500)-SUMIF($A$3:$A$500,CONCATENATE("&gt;",TEXT(Dados!$C$16-1,0)),$M$3:$M$500)+1%))</f>
        <v>0</v>
      </c>
      <c r="O64" s="119">
        <v>0.005</v>
      </c>
      <c r="P64" s="120">
        <f t="shared" si="1"/>
        <v>1.181042</v>
      </c>
      <c r="Q64" s="119">
        <v>0.01</v>
      </c>
      <c r="R64" s="120">
        <f t="shared" si="2"/>
        <v>1.771042</v>
      </c>
      <c r="S64" s="119">
        <v>0.01</v>
      </c>
      <c r="T64" s="120">
        <f t="shared" si="3"/>
        <v>1.301042</v>
      </c>
      <c r="AG64" s="121">
        <f t="shared" si="7"/>
        <v>36373</v>
      </c>
      <c r="AH64" s="121">
        <f t="shared" si="8"/>
        <v>36373</v>
      </c>
      <c r="AI64" s="121">
        <f t="shared" si="9"/>
        <v>36373</v>
      </c>
      <c r="AJ64" s="121">
        <f t="shared" si="10"/>
        <v>36373</v>
      </c>
      <c r="AK64" s="121">
        <f t="shared" si="11"/>
        <v>36373</v>
      </c>
    </row>
    <row r="65" spans="1:37" ht="15">
      <c r="A65" s="113">
        <v>36404</v>
      </c>
      <c r="B65" s="113" t="e">
        <f t="shared" si="14"/>
        <v>#N/A</v>
      </c>
      <c r="C65" s="108" t="e">
        <f t="shared" si="0"/>
        <v>#N/A</v>
      </c>
      <c r="D65" s="114">
        <f t="shared" si="4"/>
        <v>0</v>
      </c>
      <c r="E65" s="114" t="e">
        <f t="shared" si="15"/>
        <v>#N/A</v>
      </c>
      <c r="F65" s="108" t="e">
        <f t="shared" si="5"/>
        <v>#N/A</v>
      </c>
      <c r="G65" s="114">
        <f t="shared" si="6"/>
        <v>0</v>
      </c>
      <c r="H65" s="110">
        <v>65</v>
      </c>
      <c r="I65" s="115">
        <v>0.0047</v>
      </c>
      <c r="J65" s="116">
        <v>0.0039</v>
      </c>
      <c r="K65" s="115">
        <v>0.002715</v>
      </c>
      <c r="L65" s="116">
        <v>0.0147</v>
      </c>
      <c r="M65" s="117">
        <v>0.0149</v>
      </c>
      <c r="N65" s="118">
        <f>IF(A65&gt;Dados!$C$16,0,IF(A65=Dados!$C$16,1,SUMIF($A$3:$A$500,CONCATENATE("&gt;",TEXT(DATEVALUE(TEXT(A65,"dd/mm/aaaa")),0)),$M$3:$M$500)-SUMIF($A$3:$A$500,CONCATENATE("&gt;",TEXT(Dados!$C$16-1,0)),$M$3:$M$500)+1%))</f>
        <v>0</v>
      </c>
      <c r="O65" s="119">
        <v>0.005</v>
      </c>
      <c r="P65" s="120">
        <f t="shared" si="1"/>
        <v>1.176042</v>
      </c>
      <c r="Q65" s="119">
        <v>0.01</v>
      </c>
      <c r="R65" s="120">
        <f t="shared" si="2"/>
        <v>1.761042</v>
      </c>
      <c r="S65" s="119">
        <v>0.01</v>
      </c>
      <c r="T65" s="120">
        <f t="shared" si="3"/>
        <v>1.291042</v>
      </c>
      <c r="AG65" s="121">
        <f t="shared" si="7"/>
        <v>36404</v>
      </c>
      <c r="AH65" s="121">
        <f t="shared" si="8"/>
        <v>36404</v>
      </c>
      <c r="AI65" s="121">
        <f t="shared" si="9"/>
        <v>36404</v>
      </c>
      <c r="AJ65" s="121">
        <f t="shared" si="10"/>
        <v>36404</v>
      </c>
      <c r="AK65" s="121">
        <f t="shared" si="11"/>
        <v>36404</v>
      </c>
    </row>
    <row r="66" spans="1:37" ht="15">
      <c r="A66" s="113">
        <v>36434</v>
      </c>
      <c r="B66" s="113" t="e">
        <f t="shared" si="14"/>
        <v>#N/A</v>
      </c>
      <c r="C66" s="108" t="e">
        <f t="shared" si="0"/>
        <v>#N/A</v>
      </c>
      <c r="D66" s="114">
        <f t="shared" si="4"/>
        <v>0</v>
      </c>
      <c r="E66" s="114" t="e">
        <f t="shared" si="15"/>
        <v>#N/A</v>
      </c>
      <c r="F66" s="108" t="e">
        <f t="shared" si="5"/>
        <v>#N/A</v>
      </c>
      <c r="G66" s="114">
        <f t="shared" si="6"/>
        <v>0</v>
      </c>
      <c r="H66" s="110">
        <v>66</v>
      </c>
      <c r="I66" s="115">
        <v>0.008</v>
      </c>
      <c r="J66" s="116">
        <v>0.0096</v>
      </c>
      <c r="K66" s="115">
        <v>0.002265</v>
      </c>
      <c r="L66" s="116">
        <v>0.0189</v>
      </c>
      <c r="M66" s="117">
        <v>0.0138</v>
      </c>
      <c r="N66" s="118">
        <f>IF(A66&gt;Dados!$C$16,0,IF(A66=Dados!$C$16,1,SUMIF($A$3:$A$500,CONCATENATE("&gt;",TEXT(DATEVALUE(TEXT(A66,"dd/mm/aaaa")),0)),$M$3:$M$500)-SUMIF($A$3:$A$500,CONCATENATE("&gt;",TEXT(Dados!$C$16-1,0)),$M$3:$M$500)+1%))</f>
        <v>0</v>
      </c>
      <c r="O66" s="119">
        <v>0.005</v>
      </c>
      <c r="P66" s="120">
        <f t="shared" si="1"/>
        <v>1.171042</v>
      </c>
      <c r="Q66" s="119">
        <v>0.01</v>
      </c>
      <c r="R66" s="120">
        <f t="shared" si="2"/>
        <v>1.751042</v>
      </c>
      <c r="S66" s="119">
        <v>0.01</v>
      </c>
      <c r="T66" s="120">
        <f t="shared" si="3"/>
        <v>1.281042</v>
      </c>
      <c r="AG66" s="121">
        <f t="shared" si="7"/>
        <v>36434</v>
      </c>
      <c r="AH66" s="121">
        <f t="shared" si="8"/>
        <v>36434</v>
      </c>
      <c r="AI66" s="121">
        <f t="shared" si="9"/>
        <v>36434</v>
      </c>
      <c r="AJ66" s="121">
        <f t="shared" si="10"/>
        <v>36434</v>
      </c>
      <c r="AK66" s="121">
        <f t="shared" si="11"/>
        <v>36434</v>
      </c>
    </row>
    <row r="67" spans="1:37" ht="15">
      <c r="A67" s="113">
        <v>36465</v>
      </c>
      <c r="B67" s="113" t="e">
        <f t="shared" si="14"/>
        <v>#N/A</v>
      </c>
      <c r="C67" s="108" t="e">
        <f aca="true" t="shared" si="16" ref="C67:C130">IF(B67="IPCA-E",I67,IF(B67="INPC",J67,IF(B67="TR",K67,IF(B67="IGP-DI",L67,0))))</f>
        <v>#N/A</v>
      </c>
      <c r="D67" s="114">
        <f t="shared" si="4"/>
        <v>0</v>
      </c>
      <c r="E67" s="114" t="e">
        <f t="shared" si="15"/>
        <v>#N/A</v>
      </c>
      <c r="F67" s="108" t="e">
        <f t="shared" si="5"/>
        <v>#N/A</v>
      </c>
      <c r="G67" s="114">
        <f t="shared" si="6"/>
        <v>0</v>
      </c>
      <c r="H67" s="110">
        <v>67</v>
      </c>
      <c r="I67" s="115">
        <v>0.0099</v>
      </c>
      <c r="J67" s="116">
        <v>0.0094</v>
      </c>
      <c r="K67" s="115">
        <v>0.001998</v>
      </c>
      <c r="L67" s="116">
        <v>0.0253</v>
      </c>
      <c r="M67" s="117">
        <v>0.0139</v>
      </c>
      <c r="N67" s="118">
        <f>IF(A67&gt;Dados!$C$16,0,IF(A67=Dados!$C$16,1,SUMIF($A$3:$A$500,CONCATENATE("&gt;",TEXT(DATEVALUE(TEXT(A67,"dd/mm/aaaa")),0)),$M$3:$M$500)-SUMIF($A$3:$A$500,CONCATENATE("&gt;",TEXT(Dados!$C$16-1,0)),$M$3:$M$500)+1%))</f>
        <v>0</v>
      </c>
      <c r="O67" s="119">
        <v>0.005</v>
      </c>
      <c r="P67" s="120">
        <f aca="true" t="shared" si="17" ref="P67:P130">O68+P68</f>
        <v>1.166042</v>
      </c>
      <c r="Q67" s="119">
        <v>0.01</v>
      </c>
      <c r="R67" s="120">
        <f aca="true" t="shared" si="18" ref="R67:R130">Q68+R68</f>
        <v>1.741042</v>
      </c>
      <c r="S67" s="119">
        <v>0.01</v>
      </c>
      <c r="T67" s="120">
        <f aca="true" t="shared" si="19" ref="T67:T130">S68+T68</f>
        <v>1.271042</v>
      </c>
      <c r="AG67" s="121">
        <f t="shared" si="7"/>
        <v>36465</v>
      </c>
      <c r="AH67" s="121">
        <f t="shared" si="8"/>
        <v>36465</v>
      </c>
      <c r="AI67" s="121">
        <f t="shared" si="9"/>
        <v>36465</v>
      </c>
      <c r="AJ67" s="121">
        <f t="shared" si="10"/>
        <v>36465</v>
      </c>
      <c r="AK67" s="121">
        <f t="shared" si="11"/>
        <v>36465</v>
      </c>
    </row>
    <row r="68" spans="1:37" ht="15">
      <c r="A68" s="113">
        <v>36495</v>
      </c>
      <c r="B68" s="113" t="e">
        <f t="shared" si="14"/>
        <v>#N/A</v>
      </c>
      <c r="C68" s="108" t="e">
        <f t="shared" si="16"/>
        <v>#N/A</v>
      </c>
      <c r="D68" s="114">
        <f aca="true" t="shared" si="20" ref="D68:D131">IF(A68&gt;$D$2,0,IF(A68=$D$2,1,D69*(1+C68)))</f>
        <v>0</v>
      </c>
      <c r="E68" s="114" t="e">
        <f t="shared" si="15"/>
        <v>#N/A</v>
      </c>
      <c r="F68" s="108" t="e">
        <f aca="true" t="shared" si="21" ref="F68:F131">IF(E68="IPCA-E",I68,IF(E68="INPC",J68,IF(E68="TR",K68,IF(E68="IGP-DI",L68,IF(E68="SELIC",M68,N68)))))</f>
        <v>#N/A</v>
      </c>
      <c r="G68" s="114">
        <f aca="true" t="shared" si="22" ref="G68:G131">IF(A68&gt;$G$2,0,IF(A68=$G$2,1,G69*(1+F68)))</f>
        <v>0</v>
      </c>
      <c r="H68" s="110">
        <v>68</v>
      </c>
      <c r="I68" s="115">
        <v>0.0091</v>
      </c>
      <c r="J68" s="116">
        <v>0.0074</v>
      </c>
      <c r="K68" s="115">
        <v>0.002998</v>
      </c>
      <c r="L68" s="116">
        <v>0.0123</v>
      </c>
      <c r="M68" s="117">
        <v>0.016</v>
      </c>
      <c r="N68" s="118">
        <f>IF(A68&gt;Dados!$C$16,0,IF(A68=Dados!$C$16,1,SUMIF($A$3:$A$500,CONCATENATE("&gt;",TEXT(DATEVALUE(TEXT(A68,"dd/mm/aaaa")),0)),$M$3:$M$500)-SUMIF($A$3:$A$500,CONCATENATE("&gt;",TEXT(Dados!$C$16-1,0)),$M$3:$M$500)+1%))</f>
        <v>0</v>
      </c>
      <c r="O68" s="119">
        <v>0.005</v>
      </c>
      <c r="P68" s="120">
        <f t="shared" si="17"/>
        <v>1.161042</v>
      </c>
      <c r="Q68" s="119">
        <v>0.01</v>
      </c>
      <c r="R68" s="120">
        <f t="shared" si="18"/>
        <v>1.731042</v>
      </c>
      <c r="S68" s="119">
        <v>0.01</v>
      </c>
      <c r="T68" s="120">
        <f t="shared" si="19"/>
        <v>1.261042</v>
      </c>
      <c r="AG68" s="121">
        <f aca="true" t="shared" si="23" ref="AG68:AG131">IF(OR(L68&lt;&gt;0,AD68=1),$A68,"")</f>
        <v>36495</v>
      </c>
      <c r="AH68" s="121">
        <f aca="true" t="shared" si="24" ref="AH68:AH131">IF(OR(J68&lt;&gt;0,AB68=1),$A68,"")</f>
        <v>36495</v>
      </c>
      <c r="AI68" s="121">
        <f aca="true" t="shared" si="25" ref="AI68:AI131">IF(OR(I68&lt;&gt;0,AA68=1),$A68,"")</f>
        <v>36495</v>
      </c>
      <c r="AJ68" s="121">
        <f aca="true" t="shared" si="26" ref="AJ68:AJ131">IF(OR(M68&lt;&gt;0,AE68=1),$A68,"")</f>
        <v>36495</v>
      </c>
      <c r="AK68" s="121">
        <f aca="true" t="shared" si="27" ref="AK68:AK131">IF(OR(K68&lt;&gt;0,AC68=1),$A68,"")</f>
        <v>36495</v>
      </c>
    </row>
    <row r="69" spans="1:37" ht="15">
      <c r="A69" s="113">
        <v>36526</v>
      </c>
      <c r="B69" s="113" t="e">
        <f t="shared" si="14"/>
        <v>#N/A</v>
      </c>
      <c r="C69" s="108" t="e">
        <f t="shared" si="16"/>
        <v>#N/A</v>
      </c>
      <c r="D69" s="114">
        <f t="shared" si="20"/>
        <v>0</v>
      </c>
      <c r="E69" s="114" t="e">
        <f t="shared" si="15"/>
        <v>#N/A</v>
      </c>
      <c r="F69" s="108" t="e">
        <f t="shared" si="21"/>
        <v>#N/A</v>
      </c>
      <c r="G69" s="114">
        <f t="shared" si="22"/>
        <v>0</v>
      </c>
      <c r="H69" s="110">
        <v>69</v>
      </c>
      <c r="I69" s="115">
        <v>0.0065</v>
      </c>
      <c r="J69" s="116">
        <v>0.0061</v>
      </c>
      <c r="K69" s="115">
        <v>0.002149</v>
      </c>
      <c r="L69" s="116">
        <v>0.0102</v>
      </c>
      <c r="M69" s="117">
        <v>0.0146</v>
      </c>
      <c r="N69" s="118">
        <f>IF(A69&gt;Dados!$C$16,0,IF(A69=Dados!$C$16,1,SUMIF($A$3:$A$500,CONCATENATE("&gt;",TEXT(DATEVALUE(TEXT(A69,"dd/mm/aaaa")),0)),$M$3:$M$500)-SUMIF($A$3:$A$500,CONCATENATE("&gt;",TEXT(Dados!$C$16-1,0)),$M$3:$M$500)+1%))</f>
        <v>0</v>
      </c>
      <c r="O69" s="119">
        <v>0.005</v>
      </c>
      <c r="P69" s="120">
        <f t="shared" si="17"/>
        <v>1.156042</v>
      </c>
      <c r="Q69" s="119">
        <v>0.01</v>
      </c>
      <c r="R69" s="120">
        <f t="shared" si="18"/>
        <v>1.721042</v>
      </c>
      <c r="S69" s="119">
        <v>0.01</v>
      </c>
      <c r="T69" s="120">
        <f t="shared" si="19"/>
        <v>1.251042</v>
      </c>
      <c r="AG69" s="121">
        <f t="shared" si="23"/>
        <v>36526</v>
      </c>
      <c r="AH69" s="121">
        <f t="shared" si="24"/>
        <v>36526</v>
      </c>
      <c r="AI69" s="121">
        <f t="shared" si="25"/>
        <v>36526</v>
      </c>
      <c r="AJ69" s="121">
        <f t="shared" si="26"/>
        <v>36526</v>
      </c>
      <c r="AK69" s="121">
        <f t="shared" si="27"/>
        <v>36526</v>
      </c>
    </row>
    <row r="70" spans="1:37" ht="15">
      <c r="A70" s="113">
        <v>36557</v>
      </c>
      <c r="B70" s="113" t="e">
        <f t="shared" si="14"/>
        <v>#N/A</v>
      </c>
      <c r="C70" s="108" t="e">
        <f t="shared" si="16"/>
        <v>#N/A</v>
      </c>
      <c r="D70" s="114">
        <f t="shared" si="20"/>
        <v>0</v>
      </c>
      <c r="E70" s="114" t="e">
        <f t="shared" si="15"/>
        <v>#N/A</v>
      </c>
      <c r="F70" s="108" t="e">
        <f t="shared" si="21"/>
        <v>#N/A</v>
      </c>
      <c r="G70" s="114">
        <f t="shared" si="22"/>
        <v>0</v>
      </c>
      <c r="H70" s="110">
        <v>70</v>
      </c>
      <c r="I70" s="115">
        <v>0.0034</v>
      </c>
      <c r="J70" s="116">
        <v>0.0005</v>
      </c>
      <c r="K70" s="115">
        <v>0.002328</v>
      </c>
      <c r="L70" s="116">
        <v>0.0019</v>
      </c>
      <c r="M70" s="117">
        <v>0.0145</v>
      </c>
      <c r="N70" s="118">
        <f>IF(A70&gt;Dados!$C$16,0,IF(A70=Dados!$C$16,1,SUMIF($A$3:$A$500,CONCATENATE("&gt;",TEXT(DATEVALUE(TEXT(A70,"dd/mm/aaaa")),0)),$M$3:$M$500)-SUMIF($A$3:$A$500,CONCATENATE("&gt;",TEXT(Dados!$C$16-1,0)),$M$3:$M$500)+1%))</f>
        <v>0</v>
      </c>
      <c r="O70" s="119">
        <v>0.005</v>
      </c>
      <c r="P70" s="120">
        <f t="shared" si="17"/>
        <v>1.151042</v>
      </c>
      <c r="Q70" s="119">
        <v>0.01</v>
      </c>
      <c r="R70" s="120">
        <f t="shared" si="18"/>
        <v>1.711042</v>
      </c>
      <c r="S70" s="119">
        <v>0.01</v>
      </c>
      <c r="T70" s="120">
        <f t="shared" si="19"/>
        <v>1.241042</v>
      </c>
      <c r="AG70" s="121">
        <f t="shared" si="23"/>
        <v>36557</v>
      </c>
      <c r="AH70" s="121">
        <f t="shared" si="24"/>
        <v>36557</v>
      </c>
      <c r="AI70" s="121">
        <f t="shared" si="25"/>
        <v>36557</v>
      </c>
      <c r="AJ70" s="121">
        <f t="shared" si="26"/>
        <v>36557</v>
      </c>
      <c r="AK70" s="121">
        <f t="shared" si="27"/>
        <v>36557</v>
      </c>
    </row>
    <row r="71" spans="1:37" ht="15">
      <c r="A71" s="113">
        <v>36586</v>
      </c>
      <c r="B71" s="113" t="e">
        <f t="shared" si="14"/>
        <v>#N/A</v>
      </c>
      <c r="C71" s="108" t="e">
        <f t="shared" si="16"/>
        <v>#N/A</v>
      </c>
      <c r="D71" s="114">
        <f t="shared" si="20"/>
        <v>0</v>
      </c>
      <c r="E71" s="114" t="e">
        <f t="shared" si="15"/>
        <v>#N/A</v>
      </c>
      <c r="F71" s="108" t="e">
        <f t="shared" si="21"/>
        <v>#N/A</v>
      </c>
      <c r="G71" s="114">
        <f t="shared" si="22"/>
        <v>0</v>
      </c>
      <c r="H71" s="110">
        <v>71</v>
      </c>
      <c r="I71" s="115">
        <v>0.0009</v>
      </c>
      <c r="J71" s="116">
        <v>0.0013</v>
      </c>
      <c r="K71" s="115">
        <v>0.002242</v>
      </c>
      <c r="L71" s="116">
        <v>0.0018</v>
      </c>
      <c r="M71" s="117">
        <v>0.0145</v>
      </c>
      <c r="N71" s="118">
        <f>IF(A71&gt;Dados!$C$16,0,IF(A71=Dados!$C$16,1,SUMIF($A$3:$A$500,CONCATENATE("&gt;",TEXT(DATEVALUE(TEXT(A71,"dd/mm/aaaa")),0)),$M$3:$M$500)-SUMIF($A$3:$A$500,CONCATENATE("&gt;",TEXT(Dados!$C$16-1,0)),$M$3:$M$500)+1%))</f>
        <v>0</v>
      </c>
      <c r="O71" s="119">
        <v>0.005</v>
      </c>
      <c r="P71" s="120">
        <f t="shared" si="17"/>
        <v>1.146042</v>
      </c>
      <c r="Q71" s="119">
        <v>0.01</v>
      </c>
      <c r="R71" s="120">
        <f t="shared" si="18"/>
        <v>1.701042</v>
      </c>
      <c r="S71" s="119">
        <v>0.01</v>
      </c>
      <c r="T71" s="120">
        <f t="shared" si="19"/>
        <v>1.231042</v>
      </c>
      <c r="AG71" s="121">
        <f t="shared" si="23"/>
        <v>36586</v>
      </c>
      <c r="AH71" s="121">
        <f t="shared" si="24"/>
        <v>36586</v>
      </c>
      <c r="AI71" s="121">
        <f t="shared" si="25"/>
        <v>36586</v>
      </c>
      <c r="AJ71" s="121">
        <f t="shared" si="26"/>
        <v>36586</v>
      </c>
      <c r="AK71" s="121">
        <f t="shared" si="27"/>
        <v>36586</v>
      </c>
    </row>
    <row r="72" spans="1:37" ht="15">
      <c r="A72" s="113">
        <v>36617</v>
      </c>
      <c r="B72" s="113" t="e">
        <f t="shared" si="14"/>
        <v>#N/A</v>
      </c>
      <c r="C72" s="108" t="e">
        <f t="shared" si="16"/>
        <v>#N/A</v>
      </c>
      <c r="D72" s="114">
        <f t="shared" si="20"/>
        <v>0</v>
      </c>
      <c r="E72" s="114" t="e">
        <f t="shared" si="15"/>
        <v>#N/A</v>
      </c>
      <c r="F72" s="108" t="e">
        <f t="shared" si="21"/>
        <v>#N/A</v>
      </c>
      <c r="G72" s="114">
        <f t="shared" si="22"/>
        <v>0</v>
      </c>
      <c r="H72" s="110">
        <v>72</v>
      </c>
      <c r="I72" s="115">
        <v>0.0047</v>
      </c>
      <c r="J72" s="116">
        <v>0.0009</v>
      </c>
      <c r="K72" s="115">
        <v>0.001301</v>
      </c>
      <c r="L72" s="116">
        <v>0.0013</v>
      </c>
      <c r="M72" s="117">
        <v>0.013</v>
      </c>
      <c r="N72" s="118">
        <f>IF(A72&gt;Dados!$C$16,0,IF(A72=Dados!$C$16,1,SUMIF($A$3:$A$500,CONCATENATE("&gt;",TEXT(DATEVALUE(TEXT(A72,"dd/mm/aaaa")),0)),$M$3:$M$500)-SUMIF($A$3:$A$500,CONCATENATE("&gt;",TEXT(Dados!$C$16-1,0)),$M$3:$M$500)+1%))</f>
        <v>0</v>
      </c>
      <c r="O72" s="119">
        <v>0.005</v>
      </c>
      <c r="P72" s="120">
        <f t="shared" si="17"/>
        <v>1.141042</v>
      </c>
      <c r="Q72" s="119">
        <v>0.01</v>
      </c>
      <c r="R72" s="120">
        <f t="shared" si="18"/>
        <v>1.691042</v>
      </c>
      <c r="S72" s="119">
        <v>0.01</v>
      </c>
      <c r="T72" s="120">
        <f t="shared" si="19"/>
        <v>1.221042</v>
      </c>
      <c r="AG72" s="121">
        <f t="shared" si="23"/>
        <v>36617</v>
      </c>
      <c r="AH72" s="121">
        <f t="shared" si="24"/>
        <v>36617</v>
      </c>
      <c r="AI72" s="121">
        <f t="shared" si="25"/>
        <v>36617</v>
      </c>
      <c r="AJ72" s="121">
        <f t="shared" si="26"/>
        <v>36617</v>
      </c>
      <c r="AK72" s="121">
        <f t="shared" si="27"/>
        <v>36617</v>
      </c>
    </row>
    <row r="73" spans="1:37" ht="15">
      <c r="A73" s="113">
        <v>36647</v>
      </c>
      <c r="B73" s="113" t="e">
        <f t="shared" si="14"/>
        <v>#N/A</v>
      </c>
      <c r="C73" s="108" t="e">
        <f t="shared" si="16"/>
        <v>#N/A</v>
      </c>
      <c r="D73" s="114">
        <f t="shared" si="20"/>
        <v>0</v>
      </c>
      <c r="E73" s="114" t="e">
        <f t="shared" si="15"/>
        <v>#N/A</v>
      </c>
      <c r="F73" s="108" t="e">
        <f t="shared" si="21"/>
        <v>#N/A</v>
      </c>
      <c r="G73" s="114">
        <f t="shared" si="22"/>
        <v>0</v>
      </c>
      <c r="H73" s="110">
        <v>73</v>
      </c>
      <c r="I73" s="115">
        <v>0.0009</v>
      </c>
      <c r="J73" s="116">
        <v>-0.0005</v>
      </c>
      <c r="K73" s="115">
        <v>0.002492</v>
      </c>
      <c r="L73" s="116">
        <v>0.0067</v>
      </c>
      <c r="M73" s="117">
        <v>0.0149</v>
      </c>
      <c r="N73" s="118">
        <f>IF(A73&gt;Dados!$C$16,0,IF(A73=Dados!$C$16,1,SUMIF($A$3:$A$500,CONCATENATE("&gt;",TEXT(DATEVALUE(TEXT(A73,"dd/mm/aaaa")),0)),$M$3:$M$500)-SUMIF($A$3:$A$500,CONCATENATE("&gt;",TEXT(Dados!$C$16-1,0)),$M$3:$M$500)+1%))</f>
        <v>0</v>
      </c>
      <c r="O73" s="119">
        <v>0.005</v>
      </c>
      <c r="P73" s="120">
        <f t="shared" si="17"/>
        <v>1.136042</v>
      </c>
      <c r="Q73" s="119">
        <v>0.01</v>
      </c>
      <c r="R73" s="120">
        <f t="shared" si="18"/>
        <v>1.681042</v>
      </c>
      <c r="S73" s="119">
        <v>0.01</v>
      </c>
      <c r="T73" s="120">
        <f t="shared" si="19"/>
        <v>1.211042</v>
      </c>
      <c r="AG73" s="121">
        <f t="shared" si="23"/>
        <v>36647</v>
      </c>
      <c r="AH73" s="121">
        <f t="shared" si="24"/>
        <v>36647</v>
      </c>
      <c r="AI73" s="121">
        <f t="shared" si="25"/>
        <v>36647</v>
      </c>
      <c r="AJ73" s="121">
        <f t="shared" si="26"/>
        <v>36647</v>
      </c>
      <c r="AK73" s="121">
        <f t="shared" si="27"/>
        <v>36647</v>
      </c>
    </row>
    <row r="74" spans="1:37" ht="15">
      <c r="A74" s="113">
        <v>36678</v>
      </c>
      <c r="B74" s="113" t="e">
        <f t="shared" si="14"/>
        <v>#N/A</v>
      </c>
      <c r="C74" s="108" t="e">
        <f t="shared" si="16"/>
        <v>#N/A</v>
      </c>
      <c r="D74" s="114">
        <f t="shared" si="20"/>
        <v>0</v>
      </c>
      <c r="E74" s="114" t="e">
        <f t="shared" si="15"/>
        <v>#N/A</v>
      </c>
      <c r="F74" s="108" t="e">
        <f t="shared" si="21"/>
        <v>#N/A</v>
      </c>
      <c r="G74" s="114">
        <f t="shared" si="22"/>
        <v>0</v>
      </c>
      <c r="H74" s="110">
        <v>74</v>
      </c>
      <c r="I74" s="115">
        <v>0.0008</v>
      </c>
      <c r="J74" s="116">
        <v>0.003</v>
      </c>
      <c r="K74" s="115">
        <v>0.00214</v>
      </c>
      <c r="L74" s="116">
        <v>0.0093</v>
      </c>
      <c r="M74" s="117">
        <v>0.0139</v>
      </c>
      <c r="N74" s="118">
        <f>IF(A74&gt;Dados!$C$16,0,IF(A74=Dados!$C$16,1,SUMIF($A$3:$A$500,CONCATENATE("&gt;",TEXT(DATEVALUE(TEXT(A74,"dd/mm/aaaa")),0)),$M$3:$M$500)-SUMIF($A$3:$A$500,CONCATENATE("&gt;",TEXT(Dados!$C$16-1,0)),$M$3:$M$500)+1%))</f>
        <v>0</v>
      </c>
      <c r="O74" s="119">
        <v>0.005</v>
      </c>
      <c r="P74" s="120">
        <f t="shared" si="17"/>
        <v>1.131042</v>
      </c>
      <c r="Q74" s="119">
        <v>0.01</v>
      </c>
      <c r="R74" s="120">
        <f t="shared" si="18"/>
        <v>1.671042</v>
      </c>
      <c r="S74" s="119">
        <v>0.01</v>
      </c>
      <c r="T74" s="120">
        <f t="shared" si="19"/>
        <v>1.201042</v>
      </c>
      <c r="AG74" s="121">
        <f t="shared" si="23"/>
        <v>36678</v>
      </c>
      <c r="AH74" s="121">
        <f t="shared" si="24"/>
        <v>36678</v>
      </c>
      <c r="AI74" s="121">
        <f t="shared" si="25"/>
        <v>36678</v>
      </c>
      <c r="AJ74" s="121">
        <f t="shared" si="26"/>
        <v>36678</v>
      </c>
      <c r="AK74" s="121">
        <f t="shared" si="27"/>
        <v>36678</v>
      </c>
    </row>
    <row r="75" spans="1:37" ht="15">
      <c r="A75" s="113">
        <v>36708</v>
      </c>
      <c r="B75" s="113" t="e">
        <f t="shared" si="14"/>
        <v>#N/A</v>
      </c>
      <c r="C75" s="108" t="e">
        <f t="shared" si="16"/>
        <v>#N/A</v>
      </c>
      <c r="D75" s="114">
        <f t="shared" si="20"/>
        <v>0</v>
      </c>
      <c r="E75" s="114" t="e">
        <f t="shared" si="15"/>
        <v>#N/A</v>
      </c>
      <c r="F75" s="108" t="e">
        <f t="shared" si="21"/>
        <v>#N/A</v>
      </c>
      <c r="G75" s="114">
        <f t="shared" si="22"/>
        <v>0</v>
      </c>
      <c r="H75" s="110">
        <v>75</v>
      </c>
      <c r="I75" s="115">
        <v>0.0078</v>
      </c>
      <c r="J75" s="116">
        <v>0.0139</v>
      </c>
      <c r="K75" s="115">
        <v>0.001547</v>
      </c>
      <c r="L75" s="116">
        <v>0.0226</v>
      </c>
      <c r="M75" s="117">
        <v>0.0131</v>
      </c>
      <c r="N75" s="118">
        <f>IF(A75&gt;Dados!$C$16,0,IF(A75=Dados!$C$16,1,SUMIF($A$3:$A$500,CONCATENATE("&gt;",TEXT(DATEVALUE(TEXT(A75,"dd/mm/aaaa")),0)),$M$3:$M$500)-SUMIF($A$3:$A$500,CONCATENATE("&gt;",TEXT(Dados!$C$16-1,0)),$M$3:$M$500)+1%))</f>
        <v>0</v>
      </c>
      <c r="O75" s="119">
        <v>0.005</v>
      </c>
      <c r="P75" s="120">
        <f t="shared" si="17"/>
        <v>1.126042</v>
      </c>
      <c r="Q75" s="119">
        <v>0.01</v>
      </c>
      <c r="R75" s="120">
        <f t="shared" si="18"/>
        <v>1.661042</v>
      </c>
      <c r="S75" s="119">
        <v>0.01</v>
      </c>
      <c r="T75" s="120">
        <f t="shared" si="19"/>
        <v>1.191042</v>
      </c>
      <c r="AG75" s="121">
        <f t="shared" si="23"/>
        <v>36708</v>
      </c>
      <c r="AH75" s="121">
        <f t="shared" si="24"/>
        <v>36708</v>
      </c>
      <c r="AI75" s="121">
        <f t="shared" si="25"/>
        <v>36708</v>
      </c>
      <c r="AJ75" s="121">
        <f t="shared" si="26"/>
        <v>36708</v>
      </c>
      <c r="AK75" s="121">
        <f t="shared" si="27"/>
        <v>36708</v>
      </c>
    </row>
    <row r="76" spans="1:37" ht="15">
      <c r="A76" s="113">
        <v>36739</v>
      </c>
      <c r="B76" s="113" t="e">
        <f t="shared" si="14"/>
        <v>#N/A</v>
      </c>
      <c r="C76" s="108" t="e">
        <f t="shared" si="16"/>
        <v>#N/A</v>
      </c>
      <c r="D76" s="114">
        <f t="shared" si="20"/>
        <v>0</v>
      </c>
      <c r="E76" s="114" t="e">
        <f t="shared" si="15"/>
        <v>#N/A</v>
      </c>
      <c r="F76" s="108" t="e">
        <f t="shared" si="21"/>
        <v>#N/A</v>
      </c>
      <c r="G76" s="114">
        <f t="shared" si="22"/>
        <v>0</v>
      </c>
      <c r="H76" s="110">
        <v>76</v>
      </c>
      <c r="I76" s="115">
        <v>0.0199</v>
      </c>
      <c r="J76" s="116">
        <v>0.0121</v>
      </c>
      <c r="K76" s="115">
        <v>0.002025</v>
      </c>
      <c r="L76" s="116">
        <v>0.0182</v>
      </c>
      <c r="M76" s="117">
        <v>0.0141</v>
      </c>
      <c r="N76" s="118">
        <f>IF(A76&gt;Dados!$C$16,0,IF(A76=Dados!$C$16,1,SUMIF($A$3:$A$500,CONCATENATE("&gt;",TEXT(DATEVALUE(TEXT(A76,"dd/mm/aaaa")),0)),$M$3:$M$500)-SUMIF($A$3:$A$500,CONCATENATE("&gt;",TEXT(Dados!$C$16-1,0)),$M$3:$M$500)+1%))</f>
        <v>0</v>
      </c>
      <c r="O76" s="119">
        <v>0.005</v>
      </c>
      <c r="P76" s="120">
        <f t="shared" si="17"/>
        <v>1.121042</v>
      </c>
      <c r="Q76" s="119">
        <v>0.01</v>
      </c>
      <c r="R76" s="120">
        <f t="shared" si="18"/>
        <v>1.651042</v>
      </c>
      <c r="S76" s="119">
        <v>0.01</v>
      </c>
      <c r="T76" s="120">
        <f t="shared" si="19"/>
        <v>1.181042</v>
      </c>
      <c r="AG76" s="121">
        <f t="shared" si="23"/>
        <v>36739</v>
      </c>
      <c r="AH76" s="121">
        <f t="shared" si="24"/>
        <v>36739</v>
      </c>
      <c r="AI76" s="121">
        <f t="shared" si="25"/>
        <v>36739</v>
      </c>
      <c r="AJ76" s="121">
        <f t="shared" si="26"/>
        <v>36739</v>
      </c>
      <c r="AK76" s="121">
        <f t="shared" si="27"/>
        <v>36739</v>
      </c>
    </row>
    <row r="77" spans="1:37" ht="15">
      <c r="A77" s="113">
        <v>36770</v>
      </c>
      <c r="B77" s="113" t="e">
        <f t="shared" si="14"/>
        <v>#N/A</v>
      </c>
      <c r="C77" s="108" t="e">
        <f t="shared" si="16"/>
        <v>#N/A</v>
      </c>
      <c r="D77" s="114">
        <f t="shared" si="20"/>
        <v>0</v>
      </c>
      <c r="E77" s="114" t="e">
        <f t="shared" si="15"/>
        <v>#N/A</v>
      </c>
      <c r="F77" s="108" t="e">
        <f t="shared" si="21"/>
        <v>#N/A</v>
      </c>
      <c r="G77" s="114">
        <f t="shared" si="22"/>
        <v>0</v>
      </c>
      <c r="H77" s="110">
        <v>77</v>
      </c>
      <c r="I77" s="115">
        <v>0.0045</v>
      </c>
      <c r="J77" s="116">
        <v>0.0043</v>
      </c>
      <c r="K77" s="115">
        <v>0.001038</v>
      </c>
      <c r="L77" s="116">
        <v>0.0069</v>
      </c>
      <c r="M77" s="117">
        <v>0.0122</v>
      </c>
      <c r="N77" s="118">
        <f>IF(A77&gt;Dados!$C$16,0,IF(A77=Dados!$C$16,1,SUMIF($A$3:$A$500,CONCATENATE("&gt;",TEXT(DATEVALUE(TEXT(A77,"dd/mm/aaaa")),0)),$M$3:$M$500)-SUMIF($A$3:$A$500,CONCATENATE("&gt;",TEXT(Dados!$C$16-1,0)),$M$3:$M$500)+1%))</f>
        <v>0</v>
      </c>
      <c r="O77" s="119">
        <v>0.005</v>
      </c>
      <c r="P77" s="120">
        <f t="shared" si="17"/>
        <v>1.116042</v>
      </c>
      <c r="Q77" s="119">
        <v>0.01</v>
      </c>
      <c r="R77" s="120">
        <f t="shared" si="18"/>
        <v>1.641042</v>
      </c>
      <c r="S77" s="119">
        <v>0.01</v>
      </c>
      <c r="T77" s="120">
        <f t="shared" si="19"/>
        <v>1.171042</v>
      </c>
      <c r="AG77" s="121">
        <f t="shared" si="23"/>
        <v>36770</v>
      </c>
      <c r="AH77" s="121">
        <f t="shared" si="24"/>
        <v>36770</v>
      </c>
      <c r="AI77" s="121">
        <f t="shared" si="25"/>
        <v>36770</v>
      </c>
      <c r="AJ77" s="121">
        <f t="shared" si="26"/>
        <v>36770</v>
      </c>
      <c r="AK77" s="121">
        <f t="shared" si="27"/>
        <v>36770</v>
      </c>
    </row>
    <row r="78" spans="1:37" ht="15">
      <c r="A78" s="113">
        <v>36800</v>
      </c>
      <c r="B78" s="113" t="e">
        <f t="shared" si="14"/>
        <v>#N/A</v>
      </c>
      <c r="C78" s="108" t="e">
        <f t="shared" si="16"/>
        <v>#N/A</v>
      </c>
      <c r="D78" s="114">
        <f t="shared" si="20"/>
        <v>0</v>
      </c>
      <c r="E78" s="114" t="e">
        <f t="shared" si="15"/>
        <v>#N/A</v>
      </c>
      <c r="F78" s="108" t="e">
        <f t="shared" si="21"/>
        <v>#N/A</v>
      </c>
      <c r="G78" s="114">
        <f t="shared" si="22"/>
        <v>0</v>
      </c>
      <c r="H78" s="110">
        <v>78</v>
      </c>
      <c r="I78" s="115">
        <v>0.0018</v>
      </c>
      <c r="J78" s="116">
        <v>0.0016</v>
      </c>
      <c r="K78" s="115">
        <v>0.001316</v>
      </c>
      <c r="L78" s="116">
        <v>0.0037</v>
      </c>
      <c r="M78" s="117">
        <v>0.0129</v>
      </c>
      <c r="N78" s="118">
        <f>IF(A78&gt;Dados!$C$16,0,IF(A78=Dados!$C$16,1,SUMIF($A$3:$A$500,CONCATENATE("&gt;",TEXT(DATEVALUE(TEXT(A78,"dd/mm/aaaa")),0)),$M$3:$M$500)-SUMIF($A$3:$A$500,CONCATENATE("&gt;",TEXT(Dados!$C$16-1,0)),$M$3:$M$500)+1%))</f>
        <v>0</v>
      </c>
      <c r="O78" s="119">
        <v>0.005</v>
      </c>
      <c r="P78" s="120">
        <f t="shared" si="17"/>
        <v>1.111042</v>
      </c>
      <c r="Q78" s="119">
        <v>0.01</v>
      </c>
      <c r="R78" s="120">
        <f t="shared" si="18"/>
        <v>1.631042</v>
      </c>
      <c r="S78" s="119">
        <v>0.01</v>
      </c>
      <c r="T78" s="120">
        <f t="shared" si="19"/>
        <v>1.161042</v>
      </c>
      <c r="AG78" s="121">
        <f t="shared" si="23"/>
        <v>36800</v>
      </c>
      <c r="AH78" s="121">
        <f t="shared" si="24"/>
        <v>36800</v>
      </c>
      <c r="AI78" s="121">
        <f t="shared" si="25"/>
        <v>36800</v>
      </c>
      <c r="AJ78" s="121">
        <f t="shared" si="26"/>
        <v>36800</v>
      </c>
      <c r="AK78" s="121">
        <f t="shared" si="27"/>
        <v>36800</v>
      </c>
    </row>
    <row r="79" spans="1:37" ht="15">
      <c r="A79" s="113">
        <v>36831</v>
      </c>
      <c r="B79" s="113" t="e">
        <f t="shared" si="14"/>
        <v>#N/A</v>
      </c>
      <c r="C79" s="108" t="e">
        <f t="shared" si="16"/>
        <v>#N/A</v>
      </c>
      <c r="D79" s="114">
        <f t="shared" si="20"/>
        <v>0</v>
      </c>
      <c r="E79" s="114" t="e">
        <f t="shared" si="15"/>
        <v>#N/A</v>
      </c>
      <c r="F79" s="108" t="e">
        <f t="shared" si="21"/>
        <v>#N/A</v>
      </c>
      <c r="G79" s="114">
        <f t="shared" si="22"/>
        <v>0</v>
      </c>
      <c r="H79" s="110">
        <v>79</v>
      </c>
      <c r="I79" s="115">
        <v>0.0017</v>
      </c>
      <c r="J79" s="116">
        <v>0.0029</v>
      </c>
      <c r="K79" s="115">
        <v>0.001197</v>
      </c>
      <c r="L79" s="116">
        <v>0.0039</v>
      </c>
      <c r="M79" s="117">
        <v>0.0122</v>
      </c>
      <c r="N79" s="118">
        <f>IF(A79&gt;Dados!$C$16,0,IF(A79=Dados!$C$16,1,SUMIF($A$3:$A$500,CONCATENATE("&gt;",TEXT(DATEVALUE(TEXT(A79,"dd/mm/aaaa")),0)),$M$3:$M$500)-SUMIF($A$3:$A$500,CONCATENATE("&gt;",TEXT(Dados!$C$16-1,0)),$M$3:$M$500)+1%))</f>
        <v>0</v>
      </c>
      <c r="O79" s="119">
        <v>0.005</v>
      </c>
      <c r="P79" s="120">
        <f t="shared" si="17"/>
        <v>1.106042</v>
      </c>
      <c r="Q79" s="119">
        <v>0.01</v>
      </c>
      <c r="R79" s="120">
        <f t="shared" si="18"/>
        <v>1.621042</v>
      </c>
      <c r="S79" s="119">
        <v>0.01</v>
      </c>
      <c r="T79" s="120">
        <f t="shared" si="19"/>
        <v>1.151042</v>
      </c>
      <c r="AG79" s="121">
        <f t="shared" si="23"/>
        <v>36831</v>
      </c>
      <c r="AH79" s="121">
        <f t="shared" si="24"/>
        <v>36831</v>
      </c>
      <c r="AI79" s="121">
        <f t="shared" si="25"/>
        <v>36831</v>
      </c>
      <c r="AJ79" s="121">
        <f t="shared" si="26"/>
        <v>36831</v>
      </c>
      <c r="AK79" s="121">
        <f t="shared" si="27"/>
        <v>36831</v>
      </c>
    </row>
    <row r="80" spans="1:37" ht="15">
      <c r="A80" s="113">
        <v>36861</v>
      </c>
      <c r="B80" s="113" t="e">
        <f t="shared" si="14"/>
        <v>#N/A</v>
      </c>
      <c r="C80" s="108" t="e">
        <f t="shared" si="16"/>
        <v>#N/A</v>
      </c>
      <c r="D80" s="114">
        <f t="shared" si="20"/>
        <v>0</v>
      </c>
      <c r="E80" s="114" t="e">
        <f t="shared" si="15"/>
        <v>#N/A</v>
      </c>
      <c r="F80" s="108" t="e">
        <f t="shared" si="21"/>
        <v>#N/A</v>
      </c>
      <c r="G80" s="114">
        <f t="shared" si="22"/>
        <v>0</v>
      </c>
      <c r="H80" s="110">
        <v>80</v>
      </c>
      <c r="I80" s="115">
        <v>0.006</v>
      </c>
      <c r="J80" s="116">
        <v>0.0055</v>
      </c>
      <c r="K80" s="115">
        <v>0.000991</v>
      </c>
      <c r="L80" s="116">
        <v>0.0076</v>
      </c>
      <c r="M80" s="117">
        <v>0.012</v>
      </c>
      <c r="N80" s="118">
        <f>IF(A80&gt;Dados!$C$16,0,IF(A80=Dados!$C$16,1,SUMIF($A$3:$A$500,CONCATENATE("&gt;",TEXT(DATEVALUE(TEXT(A80,"dd/mm/aaaa")),0)),$M$3:$M$500)-SUMIF($A$3:$A$500,CONCATENATE("&gt;",TEXT(Dados!$C$16-1,0)),$M$3:$M$500)+1%))</f>
        <v>0</v>
      </c>
      <c r="O80" s="119">
        <v>0.005</v>
      </c>
      <c r="P80" s="120">
        <f t="shared" si="17"/>
        <v>1.101042</v>
      </c>
      <c r="Q80" s="119">
        <v>0.01</v>
      </c>
      <c r="R80" s="120">
        <f t="shared" si="18"/>
        <v>1.611042</v>
      </c>
      <c r="S80" s="119">
        <v>0.01</v>
      </c>
      <c r="T80" s="120">
        <f t="shared" si="19"/>
        <v>1.141042</v>
      </c>
      <c r="AG80" s="121">
        <f t="shared" si="23"/>
        <v>36861</v>
      </c>
      <c r="AH80" s="121">
        <f t="shared" si="24"/>
        <v>36861</v>
      </c>
      <c r="AI80" s="121">
        <f t="shared" si="25"/>
        <v>36861</v>
      </c>
      <c r="AJ80" s="121">
        <f t="shared" si="26"/>
        <v>36861</v>
      </c>
      <c r="AK80" s="121">
        <f t="shared" si="27"/>
        <v>36861</v>
      </c>
    </row>
    <row r="81" spans="1:37" ht="15">
      <c r="A81" s="113">
        <v>36892</v>
      </c>
      <c r="B81" s="113" t="e">
        <f t="shared" si="14"/>
        <v>#N/A</v>
      </c>
      <c r="C81" s="108" t="e">
        <f t="shared" si="16"/>
        <v>#N/A</v>
      </c>
      <c r="D81" s="114">
        <f t="shared" si="20"/>
        <v>0</v>
      </c>
      <c r="E81" s="114" t="e">
        <f t="shared" si="15"/>
        <v>#N/A</v>
      </c>
      <c r="F81" s="108" t="e">
        <f t="shared" si="21"/>
        <v>#N/A</v>
      </c>
      <c r="G81" s="114">
        <f t="shared" si="22"/>
        <v>0</v>
      </c>
      <c r="H81" s="110">
        <v>81</v>
      </c>
      <c r="I81" s="115">
        <v>0.0063</v>
      </c>
      <c r="J81" s="116">
        <v>0.0077</v>
      </c>
      <c r="K81" s="115">
        <v>0.001369</v>
      </c>
      <c r="L81" s="116">
        <v>0.0049</v>
      </c>
      <c r="M81" s="117">
        <v>0.0127</v>
      </c>
      <c r="N81" s="118">
        <f>IF(A81&gt;Dados!$C$16,0,IF(A81=Dados!$C$16,1,SUMIF($A$3:$A$500,CONCATENATE("&gt;",TEXT(DATEVALUE(TEXT(A81,"dd/mm/aaaa")),0)),$M$3:$M$500)-SUMIF($A$3:$A$500,CONCATENATE("&gt;",TEXT(Dados!$C$16-1,0)),$M$3:$M$500)+1%))</f>
        <v>0</v>
      </c>
      <c r="O81" s="119">
        <v>0.005</v>
      </c>
      <c r="P81" s="120">
        <f t="shared" si="17"/>
        <v>1.096042</v>
      </c>
      <c r="Q81" s="119">
        <v>0.01</v>
      </c>
      <c r="R81" s="120">
        <f t="shared" si="18"/>
        <v>1.601042</v>
      </c>
      <c r="S81" s="119">
        <v>0.01</v>
      </c>
      <c r="T81" s="120">
        <f t="shared" si="19"/>
        <v>1.131042</v>
      </c>
      <c r="AG81" s="121">
        <f t="shared" si="23"/>
        <v>36892</v>
      </c>
      <c r="AH81" s="121">
        <f t="shared" si="24"/>
        <v>36892</v>
      </c>
      <c r="AI81" s="121">
        <f t="shared" si="25"/>
        <v>36892</v>
      </c>
      <c r="AJ81" s="121">
        <f t="shared" si="26"/>
        <v>36892</v>
      </c>
      <c r="AK81" s="121">
        <f t="shared" si="27"/>
        <v>36892</v>
      </c>
    </row>
    <row r="82" spans="1:37" ht="15">
      <c r="A82" s="113">
        <v>36923</v>
      </c>
      <c r="B82" s="113" t="e">
        <f t="shared" si="14"/>
        <v>#N/A</v>
      </c>
      <c r="C82" s="108" t="e">
        <f t="shared" si="16"/>
        <v>#N/A</v>
      </c>
      <c r="D82" s="114">
        <f t="shared" si="20"/>
        <v>0</v>
      </c>
      <c r="E82" s="114" t="e">
        <f t="shared" si="15"/>
        <v>#N/A</v>
      </c>
      <c r="F82" s="108" t="e">
        <f t="shared" si="21"/>
        <v>#N/A</v>
      </c>
      <c r="G82" s="114">
        <f t="shared" si="22"/>
        <v>0</v>
      </c>
      <c r="H82" s="110">
        <v>82</v>
      </c>
      <c r="I82" s="115">
        <v>0.005</v>
      </c>
      <c r="J82" s="116">
        <v>0.0049</v>
      </c>
      <c r="K82" s="115">
        <v>0.000368</v>
      </c>
      <c r="L82" s="116">
        <v>0.0034</v>
      </c>
      <c r="M82" s="117">
        <v>0.0102</v>
      </c>
      <c r="N82" s="118">
        <f>IF(A82&gt;Dados!$C$16,0,IF(A82=Dados!$C$16,1,SUMIF($A$3:$A$500,CONCATENATE("&gt;",TEXT(DATEVALUE(TEXT(A82,"dd/mm/aaaa")),0)),$M$3:$M$500)-SUMIF($A$3:$A$500,CONCATENATE("&gt;",TEXT(Dados!$C$16-1,0)),$M$3:$M$500)+1%))</f>
        <v>0</v>
      </c>
      <c r="O82" s="119">
        <v>0.005</v>
      </c>
      <c r="P82" s="120">
        <f t="shared" si="17"/>
        <v>1.091042</v>
      </c>
      <c r="Q82" s="119">
        <v>0.01</v>
      </c>
      <c r="R82" s="120">
        <f t="shared" si="18"/>
        <v>1.591042</v>
      </c>
      <c r="S82" s="119">
        <v>0.01</v>
      </c>
      <c r="T82" s="120">
        <f t="shared" si="19"/>
        <v>1.121042</v>
      </c>
      <c r="AG82" s="121">
        <f t="shared" si="23"/>
        <v>36923</v>
      </c>
      <c r="AH82" s="121">
        <f t="shared" si="24"/>
        <v>36923</v>
      </c>
      <c r="AI82" s="121">
        <f t="shared" si="25"/>
        <v>36923</v>
      </c>
      <c r="AJ82" s="121">
        <f t="shared" si="26"/>
        <v>36923</v>
      </c>
      <c r="AK82" s="121">
        <f t="shared" si="27"/>
        <v>36923</v>
      </c>
    </row>
    <row r="83" spans="1:37" ht="15">
      <c r="A83" s="113">
        <v>36951</v>
      </c>
      <c r="B83" s="113" t="e">
        <f t="shared" si="14"/>
        <v>#N/A</v>
      </c>
      <c r="C83" s="108" t="e">
        <f t="shared" si="16"/>
        <v>#N/A</v>
      </c>
      <c r="D83" s="114">
        <f t="shared" si="20"/>
        <v>0</v>
      </c>
      <c r="E83" s="114" t="e">
        <f t="shared" si="15"/>
        <v>#N/A</v>
      </c>
      <c r="F83" s="108" t="e">
        <f t="shared" si="21"/>
        <v>#N/A</v>
      </c>
      <c r="G83" s="114">
        <f t="shared" si="22"/>
        <v>0</v>
      </c>
      <c r="H83" s="110">
        <v>83</v>
      </c>
      <c r="I83" s="115">
        <v>0.0036</v>
      </c>
      <c r="J83" s="116">
        <v>0.0048</v>
      </c>
      <c r="K83" s="115">
        <v>0.001724</v>
      </c>
      <c r="L83" s="116">
        <v>0.008</v>
      </c>
      <c r="M83" s="117">
        <v>0.0126</v>
      </c>
      <c r="N83" s="118">
        <f>IF(A83&gt;Dados!$C$16,0,IF(A83=Dados!$C$16,1,SUMIF($A$3:$A$500,CONCATENATE("&gt;",TEXT(DATEVALUE(TEXT(A83,"dd/mm/aaaa")),0)),$M$3:$M$500)-SUMIF($A$3:$A$500,CONCATENATE("&gt;",TEXT(Dados!$C$16-1,0)),$M$3:$M$500)+1%))</f>
        <v>0</v>
      </c>
      <c r="O83" s="119">
        <v>0.005</v>
      </c>
      <c r="P83" s="120">
        <f t="shared" si="17"/>
        <v>1.086042</v>
      </c>
      <c r="Q83" s="119">
        <v>0.01</v>
      </c>
      <c r="R83" s="120">
        <f t="shared" si="18"/>
        <v>1.581042</v>
      </c>
      <c r="S83" s="119">
        <v>0.01</v>
      </c>
      <c r="T83" s="120">
        <f t="shared" si="19"/>
        <v>1.111042</v>
      </c>
      <c r="AG83" s="121">
        <f t="shared" si="23"/>
        <v>36951</v>
      </c>
      <c r="AH83" s="121">
        <f t="shared" si="24"/>
        <v>36951</v>
      </c>
      <c r="AI83" s="121">
        <f t="shared" si="25"/>
        <v>36951</v>
      </c>
      <c r="AJ83" s="121">
        <f t="shared" si="26"/>
        <v>36951</v>
      </c>
      <c r="AK83" s="121">
        <f t="shared" si="27"/>
        <v>36951</v>
      </c>
    </row>
    <row r="84" spans="1:37" ht="15">
      <c r="A84" s="113">
        <v>36982</v>
      </c>
      <c r="B84" s="113" t="e">
        <f t="shared" si="14"/>
        <v>#N/A</v>
      </c>
      <c r="C84" s="108" t="e">
        <f t="shared" si="16"/>
        <v>#N/A</v>
      </c>
      <c r="D84" s="114">
        <f t="shared" si="20"/>
        <v>0</v>
      </c>
      <c r="E84" s="114" t="e">
        <f t="shared" si="15"/>
        <v>#N/A</v>
      </c>
      <c r="F84" s="108" t="e">
        <f t="shared" si="21"/>
        <v>#N/A</v>
      </c>
      <c r="G84" s="114">
        <f t="shared" si="22"/>
        <v>0</v>
      </c>
      <c r="H84" s="110">
        <v>84</v>
      </c>
      <c r="I84" s="115">
        <v>0.005</v>
      </c>
      <c r="J84" s="116">
        <v>0.0084</v>
      </c>
      <c r="K84" s="115">
        <v>0.001546</v>
      </c>
      <c r="L84" s="116">
        <v>0.0113</v>
      </c>
      <c r="M84" s="117">
        <v>0.0119</v>
      </c>
      <c r="N84" s="118">
        <f>IF(A84&gt;Dados!$C$16,0,IF(A84=Dados!$C$16,1,SUMIF($A$3:$A$500,CONCATENATE("&gt;",TEXT(DATEVALUE(TEXT(A84,"dd/mm/aaaa")),0)),$M$3:$M$500)-SUMIF($A$3:$A$500,CONCATENATE("&gt;",TEXT(Dados!$C$16-1,0)),$M$3:$M$500)+1%))</f>
        <v>0</v>
      </c>
      <c r="O84" s="119">
        <v>0.005</v>
      </c>
      <c r="P84" s="120">
        <f t="shared" si="17"/>
        <v>1.081042</v>
      </c>
      <c r="Q84" s="119">
        <v>0.01</v>
      </c>
      <c r="R84" s="120">
        <f t="shared" si="18"/>
        <v>1.571042</v>
      </c>
      <c r="S84" s="119">
        <v>0.01</v>
      </c>
      <c r="T84" s="120">
        <f t="shared" si="19"/>
        <v>1.101042</v>
      </c>
      <c r="AG84" s="121">
        <f t="shared" si="23"/>
        <v>36982</v>
      </c>
      <c r="AH84" s="121">
        <f t="shared" si="24"/>
        <v>36982</v>
      </c>
      <c r="AI84" s="121">
        <f t="shared" si="25"/>
        <v>36982</v>
      </c>
      <c r="AJ84" s="121">
        <f t="shared" si="26"/>
        <v>36982</v>
      </c>
      <c r="AK84" s="121">
        <f t="shared" si="27"/>
        <v>36982</v>
      </c>
    </row>
    <row r="85" spans="1:37" ht="15">
      <c r="A85" s="113">
        <v>37012</v>
      </c>
      <c r="B85" s="113" t="e">
        <f t="shared" si="14"/>
        <v>#N/A</v>
      </c>
      <c r="C85" s="108" t="e">
        <f t="shared" si="16"/>
        <v>#N/A</v>
      </c>
      <c r="D85" s="114">
        <f t="shared" si="20"/>
        <v>0</v>
      </c>
      <c r="E85" s="114" t="e">
        <f t="shared" si="15"/>
        <v>#N/A</v>
      </c>
      <c r="F85" s="108" t="e">
        <f t="shared" si="21"/>
        <v>#N/A</v>
      </c>
      <c r="G85" s="114">
        <f t="shared" si="22"/>
        <v>0</v>
      </c>
      <c r="H85" s="110">
        <v>85</v>
      </c>
      <c r="I85" s="115">
        <v>0.0049</v>
      </c>
      <c r="J85" s="116">
        <v>0.0057</v>
      </c>
      <c r="K85" s="115">
        <v>0.001827</v>
      </c>
      <c r="L85" s="116">
        <v>0.0044</v>
      </c>
      <c r="M85" s="117">
        <v>0.0134</v>
      </c>
      <c r="N85" s="118">
        <f>IF(A85&gt;Dados!$C$16,0,IF(A85=Dados!$C$16,1,SUMIF($A$3:$A$500,CONCATENATE("&gt;",TEXT(DATEVALUE(TEXT(A85,"dd/mm/aaaa")),0)),$M$3:$M$500)-SUMIF($A$3:$A$500,CONCATENATE("&gt;",TEXT(Dados!$C$16-1,0)),$M$3:$M$500)+1%))</f>
        <v>0</v>
      </c>
      <c r="O85" s="119">
        <v>0.005</v>
      </c>
      <c r="P85" s="120">
        <f t="shared" si="17"/>
        <v>1.076042</v>
      </c>
      <c r="Q85" s="119">
        <v>0.01</v>
      </c>
      <c r="R85" s="120">
        <f t="shared" si="18"/>
        <v>1.561042</v>
      </c>
      <c r="S85" s="119">
        <v>0.01</v>
      </c>
      <c r="T85" s="120">
        <f t="shared" si="19"/>
        <v>1.091042</v>
      </c>
      <c r="AG85" s="121">
        <f t="shared" si="23"/>
        <v>37012</v>
      </c>
      <c r="AH85" s="121">
        <f t="shared" si="24"/>
        <v>37012</v>
      </c>
      <c r="AI85" s="121">
        <f t="shared" si="25"/>
        <v>37012</v>
      </c>
      <c r="AJ85" s="121">
        <f t="shared" si="26"/>
        <v>37012</v>
      </c>
      <c r="AK85" s="121">
        <f t="shared" si="27"/>
        <v>37012</v>
      </c>
    </row>
    <row r="86" spans="1:37" ht="15">
      <c r="A86" s="113">
        <v>37043</v>
      </c>
      <c r="B86" s="113" t="e">
        <f t="shared" si="14"/>
        <v>#N/A</v>
      </c>
      <c r="C86" s="108" t="e">
        <f t="shared" si="16"/>
        <v>#N/A</v>
      </c>
      <c r="D86" s="114">
        <f t="shared" si="20"/>
        <v>0</v>
      </c>
      <c r="E86" s="114" t="e">
        <f t="shared" si="15"/>
        <v>#N/A</v>
      </c>
      <c r="F86" s="108" t="e">
        <f t="shared" si="21"/>
        <v>#N/A</v>
      </c>
      <c r="G86" s="114">
        <f t="shared" si="22"/>
        <v>0</v>
      </c>
      <c r="H86" s="110">
        <v>86</v>
      </c>
      <c r="I86" s="115">
        <v>0.0038</v>
      </c>
      <c r="J86" s="116">
        <v>0.006</v>
      </c>
      <c r="K86" s="115">
        <v>0.001458</v>
      </c>
      <c r="L86" s="116">
        <v>0.0146</v>
      </c>
      <c r="M86" s="117">
        <v>0.0127</v>
      </c>
      <c r="N86" s="118">
        <f>IF(A86&gt;Dados!$C$16,0,IF(A86=Dados!$C$16,1,SUMIF($A$3:$A$500,CONCATENATE("&gt;",TEXT(DATEVALUE(TEXT(A86,"dd/mm/aaaa")),0)),$M$3:$M$500)-SUMIF($A$3:$A$500,CONCATENATE("&gt;",TEXT(Dados!$C$16-1,0)),$M$3:$M$500)+1%))</f>
        <v>0</v>
      </c>
      <c r="O86" s="119">
        <v>0.005</v>
      </c>
      <c r="P86" s="120">
        <f t="shared" si="17"/>
        <v>1.071042</v>
      </c>
      <c r="Q86" s="119">
        <v>0.01</v>
      </c>
      <c r="R86" s="120">
        <f t="shared" si="18"/>
        <v>1.551042</v>
      </c>
      <c r="S86" s="119">
        <v>0.01</v>
      </c>
      <c r="T86" s="120">
        <f t="shared" si="19"/>
        <v>1.081042</v>
      </c>
      <c r="AG86" s="121">
        <f t="shared" si="23"/>
        <v>37043</v>
      </c>
      <c r="AH86" s="121">
        <f t="shared" si="24"/>
        <v>37043</v>
      </c>
      <c r="AI86" s="121">
        <f t="shared" si="25"/>
        <v>37043</v>
      </c>
      <c r="AJ86" s="121">
        <f t="shared" si="26"/>
        <v>37043</v>
      </c>
      <c r="AK86" s="121">
        <f t="shared" si="27"/>
        <v>37043</v>
      </c>
    </row>
    <row r="87" spans="1:37" ht="15">
      <c r="A87" s="113">
        <v>37073</v>
      </c>
      <c r="B87" s="113" t="e">
        <f t="shared" si="14"/>
        <v>#N/A</v>
      </c>
      <c r="C87" s="108" t="e">
        <f t="shared" si="16"/>
        <v>#N/A</v>
      </c>
      <c r="D87" s="114">
        <f t="shared" si="20"/>
        <v>0</v>
      </c>
      <c r="E87" s="114" t="e">
        <f t="shared" si="15"/>
        <v>#N/A</v>
      </c>
      <c r="F87" s="108" t="e">
        <f t="shared" si="21"/>
        <v>#N/A</v>
      </c>
      <c r="G87" s="114">
        <f t="shared" si="22"/>
        <v>0</v>
      </c>
      <c r="H87" s="110">
        <v>87</v>
      </c>
      <c r="I87" s="115">
        <v>0.0094</v>
      </c>
      <c r="J87" s="116">
        <v>0.0111</v>
      </c>
      <c r="K87" s="115">
        <v>0.002441</v>
      </c>
      <c r="L87" s="116">
        <v>0.0162</v>
      </c>
      <c r="M87" s="117">
        <v>0.015</v>
      </c>
      <c r="N87" s="118">
        <f>IF(A87&gt;Dados!$C$16,0,IF(A87=Dados!$C$16,1,SUMIF($A$3:$A$500,CONCATENATE("&gt;",TEXT(DATEVALUE(TEXT(A87,"dd/mm/aaaa")),0)),$M$3:$M$500)-SUMIF($A$3:$A$500,CONCATENATE("&gt;",TEXT(Dados!$C$16-1,0)),$M$3:$M$500)+1%))</f>
        <v>0</v>
      </c>
      <c r="O87" s="119">
        <v>0.005</v>
      </c>
      <c r="P87" s="120">
        <f t="shared" si="17"/>
        <v>1.066042</v>
      </c>
      <c r="Q87" s="119">
        <v>0.01</v>
      </c>
      <c r="R87" s="120">
        <f t="shared" si="18"/>
        <v>1.541042</v>
      </c>
      <c r="S87" s="119">
        <v>0.01</v>
      </c>
      <c r="T87" s="120">
        <f t="shared" si="19"/>
        <v>1.071042</v>
      </c>
      <c r="AG87" s="121">
        <f t="shared" si="23"/>
        <v>37073</v>
      </c>
      <c r="AH87" s="121">
        <f t="shared" si="24"/>
        <v>37073</v>
      </c>
      <c r="AI87" s="121">
        <f t="shared" si="25"/>
        <v>37073</v>
      </c>
      <c r="AJ87" s="121">
        <f t="shared" si="26"/>
        <v>37073</v>
      </c>
      <c r="AK87" s="121">
        <f t="shared" si="27"/>
        <v>37073</v>
      </c>
    </row>
    <row r="88" spans="1:37" ht="15">
      <c r="A88" s="113">
        <v>37104</v>
      </c>
      <c r="B88" s="113" t="e">
        <f t="shared" si="14"/>
        <v>#N/A</v>
      </c>
      <c r="C88" s="108" t="e">
        <f t="shared" si="16"/>
        <v>#N/A</v>
      </c>
      <c r="D88" s="114">
        <f t="shared" si="20"/>
        <v>0</v>
      </c>
      <c r="E88" s="114" t="e">
        <f t="shared" si="15"/>
        <v>#N/A</v>
      </c>
      <c r="F88" s="108" t="e">
        <f t="shared" si="21"/>
        <v>#N/A</v>
      </c>
      <c r="G88" s="114">
        <f t="shared" si="22"/>
        <v>0</v>
      </c>
      <c r="H88" s="110">
        <v>88</v>
      </c>
      <c r="I88" s="115">
        <v>0.0118</v>
      </c>
      <c r="J88" s="116">
        <v>0.0079</v>
      </c>
      <c r="K88" s="115">
        <v>0.003436</v>
      </c>
      <c r="L88" s="116">
        <v>0.009</v>
      </c>
      <c r="M88" s="117">
        <v>0.016</v>
      </c>
      <c r="N88" s="118">
        <f>IF(A88&gt;Dados!$C$16,0,IF(A88=Dados!$C$16,1,SUMIF($A$3:$A$500,CONCATENATE("&gt;",TEXT(DATEVALUE(TEXT(A88,"dd/mm/aaaa")),0)),$M$3:$M$500)-SUMIF($A$3:$A$500,CONCATENATE("&gt;",TEXT(Dados!$C$16-1,0)),$M$3:$M$500)+1%))</f>
        <v>0</v>
      </c>
      <c r="O88" s="119">
        <v>0.005</v>
      </c>
      <c r="P88" s="120">
        <f t="shared" si="17"/>
        <v>1.061042</v>
      </c>
      <c r="Q88" s="119">
        <v>0.01</v>
      </c>
      <c r="R88" s="120">
        <f t="shared" si="18"/>
        <v>1.531042</v>
      </c>
      <c r="S88" s="119">
        <v>0.01</v>
      </c>
      <c r="T88" s="120">
        <f t="shared" si="19"/>
        <v>1.061042</v>
      </c>
      <c r="AG88" s="121">
        <f t="shared" si="23"/>
        <v>37104</v>
      </c>
      <c r="AH88" s="121">
        <f t="shared" si="24"/>
        <v>37104</v>
      </c>
      <c r="AI88" s="121">
        <f t="shared" si="25"/>
        <v>37104</v>
      </c>
      <c r="AJ88" s="121">
        <f t="shared" si="26"/>
        <v>37104</v>
      </c>
      <c r="AK88" s="121">
        <f t="shared" si="27"/>
        <v>37104</v>
      </c>
    </row>
    <row r="89" spans="1:37" ht="15">
      <c r="A89" s="123">
        <v>37135</v>
      </c>
      <c r="B89" s="113" t="e">
        <f t="shared" si="14"/>
        <v>#N/A</v>
      </c>
      <c r="C89" s="108" t="e">
        <f t="shared" si="16"/>
        <v>#N/A</v>
      </c>
      <c r="D89" s="114">
        <f t="shared" si="20"/>
        <v>0</v>
      </c>
      <c r="E89" s="114" t="e">
        <f t="shared" si="15"/>
        <v>#N/A</v>
      </c>
      <c r="F89" s="108" t="e">
        <f t="shared" si="21"/>
        <v>#N/A</v>
      </c>
      <c r="G89" s="114">
        <f t="shared" si="22"/>
        <v>0</v>
      </c>
      <c r="H89" s="110">
        <v>89</v>
      </c>
      <c r="I89" s="115">
        <v>0.0038</v>
      </c>
      <c r="J89" s="116">
        <v>0.0044</v>
      </c>
      <c r="K89" s="115">
        <v>0.001627</v>
      </c>
      <c r="L89" s="116">
        <v>0.0038</v>
      </c>
      <c r="M89" s="117">
        <v>0.0132</v>
      </c>
      <c r="N89" s="118">
        <f>IF(A89&gt;Dados!$C$16,0,IF(A89=Dados!$C$16,1,SUMIF($A$3:$A$500,CONCATENATE("&gt;",TEXT(DATEVALUE(TEXT(A89,"dd/mm/aaaa")),0)),$M$3:$M$500)-SUMIF($A$3:$A$500,CONCATENATE("&gt;",TEXT(Dados!$C$16-1,0)),$M$3:$M$500)+1%))</f>
        <v>0</v>
      </c>
      <c r="O89" s="124">
        <v>0.005</v>
      </c>
      <c r="P89" s="120">
        <f t="shared" si="17"/>
        <v>1.056042</v>
      </c>
      <c r="Q89" s="119">
        <v>0.01</v>
      </c>
      <c r="R89" s="120">
        <f t="shared" si="18"/>
        <v>1.521042</v>
      </c>
      <c r="S89" s="125">
        <v>0.005</v>
      </c>
      <c r="T89" s="120">
        <f t="shared" si="19"/>
        <v>1.056042</v>
      </c>
      <c r="AG89" s="121">
        <f t="shared" si="23"/>
        <v>37135</v>
      </c>
      <c r="AH89" s="121">
        <f t="shared" si="24"/>
        <v>37135</v>
      </c>
      <c r="AI89" s="121">
        <f t="shared" si="25"/>
        <v>37135</v>
      </c>
      <c r="AJ89" s="121">
        <f t="shared" si="26"/>
        <v>37135</v>
      </c>
      <c r="AK89" s="121">
        <f t="shared" si="27"/>
        <v>37135</v>
      </c>
    </row>
    <row r="90" spans="1:37" ht="15">
      <c r="A90" s="113">
        <v>37165</v>
      </c>
      <c r="B90" s="113" t="e">
        <f t="shared" si="14"/>
        <v>#N/A</v>
      </c>
      <c r="C90" s="108" t="e">
        <f t="shared" si="16"/>
        <v>#N/A</v>
      </c>
      <c r="D90" s="114">
        <f t="shared" si="20"/>
        <v>0</v>
      </c>
      <c r="E90" s="114" t="e">
        <f t="shared" si="15"/>
        <v>#N/A</v>
      </c>
      <c r="F90" s="108" t="e">
        <f t="shared" si="21"/>
        <v>#N/A</v>
      </c>
      <c r="G90" s="114">
        <f t="shared" si="22"/>
        <v>0</v>
      </c>
      <c r="H90" s="110">
        <v>90</v>
      </c>
      <c r="I90" s="115">
        <v>0.0037</v>
      </c>
      <c r="J90" s="116">
        <v>0.0094</v>
      </c>
      <c r="K90" s="115">
        <v>0.002913</v>
      </c>
      <c r="L90" s="116">
        <v>0.0145</v>
      </c>
      <c r="M90" s="117">
        <v>0.0153</v>
      </c>
      <c r="N90" s="118">
        <f>IF(A90&gt;Dados!$C$16,0,IF(A90=Dados!$C$16,1,SUMIF($A$3:$A$500,CONCATENATE("&gt;",TEXT(DATEVALUE(TEXT(A90,"dd/mm/aaaa")),0)),$M$3:$M$500)-SUMIF($A$3:$A$500,CONCATENATE("&gt;",TEXT(Dados!$C$16-1,0)),$M$3:$M$500)+1%))</f>
        <v>0</v>
      </c>
      <c r="O90" s="119">
        <v>0.005</v>
      </c>
      <c r="P90" s="120">
        <f t="shared" si="17"/>
        <v>1.051042</v>
      </c>
      <c r="Q90" s="119">
        <v>0.01</v>
      </c>
      <c r="R90" s="120">
        <f t="shared" si="18"/>
        <v>1.511042</v>
      </c>
      <c r="S90" s="119">
        <v>0.005</v>
      </c>
      <c r="T90" s="120">
        <f t="shared" si="19"/>
        <v>1.051042</v>
      </c>
      <c r="AG90" s="121">
        <f t="shared" si="23"/>
        <v>37165</v>
      </c>
      <c r="AH90" s="121">
        <f t="shared" si="24"/>
        <v>37165</v>
      </c>
      <c r="AI90" s="121">
        <f t="shared" si="25"/>
        <v>37165</v>
      </c>
      <c r="AJ90" s="121">
        <f t="shared" si="26"/>
        <v>37165</v>
      </c>
      <c r="AK90" s="121">
        <f t="shared" si="27"/>
        <v>37165</v>
      </c>
    </row>
    <row r="91" spans="1:37" ht="15">
      <c r="A91" s="113">
        <v>37196</v>
      </c>
      <c r="B91" s="113" t="e">
        <f aca="true" t="shared" si="28" ref="B91:B116">B90</f>
        <v>#N/A</v>
      </c>
      <c r="C91" s="108" t="e">
        <f t="shared" si="16"/>
        <v>#N/A</v>
      </c>
      <c r="D91" s="114">
        <f t="shared" si="20"/>
        <v>0</v>
      </c>
      <c r="E91" s="114" t="e">
        <f aca="true" t="shared" si="29" ref="E91:E116">E90</f>
        <v>#N/A</v>
      </c>
      <c r="F91" s="108" t="e">
        <f t="shared" si="21"/>
        <v>#N/A</v>
      </c>
      <c r="G91" s="114">
        <f t="shared" si="22"/>
        <v>0</v>
      </c>
      <c r="H91" s="110">
        <v>91</v>
      </c>
      <c r="I91" s="115">
        <v>0.0099</v>
      </c>
      <c r="J91" s="116">
        <v>0.0129</v>
      </c>
      <c r="K91" s="115">
        <v>0.001928</v>
      </c>
      <c r="L91" s="116">
        <v>0.0076</v>
      </c>
      <c r="M91" s="117">
        <v>0.0139</v>
      </c>
      <c r="N91" s="118">
        <f>IF(A91&gt;Dados!$C$16,0,IF(A91=Dados!$C$16,1,SUMIF($A$3:$A$500,CONCATENATE("&gt;",TEXT(DATEVALUE(TEXT(A91,"dd/mm/aaaa")),0)),$M$3:$M$500)-SUMIF($A$3:$A$500,CONCATENATE("&gt;",TEXT(Dados!$C$16-1,0)),$M$3:$M$500)+1%))</f>
        <v>0</v>
      </c>
      <c r="O91" s="119">
        <v>0.005</v>
      </c>
      <c r="P91" s="120">
        <f t="shared" si="17"/>
        <v>1.046042</v>
      </c>
      <c r="Q91" s="119">
        <v>0.01</v>
      </c>
      <c r="R91" s="120">
        <f t="shared" si="18"/>
        <v>1.501042</v>
      </c>
      <c r="S91" s="119">
        <v>0.005</v>
      </c>
      <c r="T91" s="120">
        <f t="shared" si="19"/>
        <v>1.046042</v>
      </c>
      <c r="AG91" s="121">
        <f t="shared" si="23"/>
        <v>37196</v>
      </c>
      <c r="AH91" s="121">
        <f t="shared" si="24"/>
        <v>37196</v>
      </c>
      <c r="AI91" s="121">
        <f t="shared" si="25"/>
        <v>37196</v>
      </c>
      <c r="AJ91" s="121">
        <f t="shared" si="26"/>
        <v>37196</v>
      </c>
      <c r="AK91" s="121">
        <f t="shared" si="27"/>
        <v>37196</v>
      </c>
    </row>
    <row r="92" spans="1:37" ht="15">
      <c r="A92" s="113">
        <v>37226</v>
      </c>
      <c r="B92" s="113" t="e">
        <f t="shared" si="28"/>
        <v>#N/A</v>
      </c>
      <c r="C92" s="108" t="e">
        <f t="shared" si="16"/>
        <v>#N/A</v>
      </c>
      <c r="D92" s="114">
        <f t="shared" si="20"/>
        <v>0</v>
      </c>
      <c r="E92" s="114" t="e">
        <f t="shared" si="29"/>
        <v>#N/A</v>
      </c>
      <c r="F92" s="108" t="e">
        <f t="shared" si="21"/>
        <v>#N/A</v>
      </c>
      <c r="G92" s="114">
        <f t="shared" si="22"/>
        <v>0</v>
      </c>
      <c r="H92" s="110">
        <v>92</v>
      </c>
      <c r="I92" s="115">
        <v>0.0055</v>
      </c>
      <c r="J92" s="116">
        <v>0.0074</v>
      </c>
      <c r="K92" s="115">
        <v>0.001983</v>
      </c>
      <c r="L92" s="116">
        <v>0.0018</v>
      </c>
      <c r="M92" s="117">
        <v>0.0139</v>
      </c>
      <c r="N92" s="118">
        <f>IF(A92&gt;Dados!$C$16,0,IF(A92=Dados!$C$16,1,SUMIF($A$3:$A$500,CONCATENATE("&gt;",TEXT(DATEVALUE(TEXT(A92,"dd/mm/aaaa")),0)),$M$3:$M$500)-SUMIF($A$3:$A$500,CONCATENATE("&gt;",TEXT(Dados!$C$16-1,0)),$M$3:$M$500)+1%))</f>
        <v>0</v>
      </c>
      <c r="O92" s="119">
        <v>0.005</v>
      </c>
      <c r="P92" s="120">
        <f t="shared" si="17"/>
        <v>1.041042</v>
      </c>
      <c r="Q92" s="119">
        <v>0.01</v>
      </c>
      <c r="R92" s="120">
        <f t="shared" si="18"/>
        <v>1.491042</v>
      </c>
      <c r="S92" s="119">
        <v>0.005</v>
      </c>
      <c r="T92" s="120">
        <f t="shared" si="19"/>
        <v>1.041042</v>
      </c>
      <c r="AG92" s="121">
        <f t="shared" si="23"/>
        <v>37226</v>
      </c>
      <c r="AH92" s="121">
        <f t="shared" si="24"/>
        <v>37226</v>
      </c>
      <c r="AI92" s="121">
        <f t="shared" si="25"/>
        <v>37226</v>
      </c>
      <c r="AJ92" s="121">
        <f t="shared" si="26"/>
        <v>37226</v>
      </c>
      <c r="AK92" s="121">
        <f t="shared" si="27"/>
        <v>37226</v>
      </c>
    </row>
    <row r="93" spans="1:37" ht="15">
      <c r="A93" s="113">
        <v>37257</v>
      </c>
      <c r="B93" s="113" t="e">
        <f t="shared" si="28"/>
        <v>#N/A</v>
      </c>
      <c r="C93" s="108" t="e">
        <f t="shared" si="16"/>
        <v>#N/A</v>
      </c>
      <c r="D93" s="114">
        <f t="shared" si="20"/>
        <v>0</v>
      </c>
      <c r="E93" s="114" t="e">
        <f t="shared" si="29"/>
        <v>#N/A</v>
      </c>
      <c r="F93" s="108" t="e">
        <f t="shared" si="21"/>
        <v>#N/A</v>
      </c>
      <c r="G93" s="114">
        <f t="shared" si="22"/>
        <v>0</v>
      </c>
      <c r="H93" s="110">
        <v>93</v>
      </c>
      <c r="I93" s="115">
        <v>0.0062</v>
      </c>
      <c r="J93" s="116">
        <v>0.0107</v>
      </c>
      <c r="K93" s="115">
        <v>0.002591</v>
      </c>
      <c r="L93" s="116">
        <v>0.0019</v>
      </c>
      <c r="M93" s="117">
        <v>0.0153</v>
      </c>
      <c r="N93" s="118">
        <f>IF(A93&gt;Dados!$C$16,0,IF(A93=Dados!$C$16,1,SUMIF($A$3:$A$500,CONCATENATE("&gt;",TEXT(DATEVALUE(TEXT(A93,"dd/mm/aaaa")),0)),$M$3:$M$500)-SUMIF($A$3:$A$500,CONCATENATE("&gt;",TEXT(Dados!$C$16-1,0)),$M$3:$M$500)+1%))</f>
        <v>0</v>
      </c>
      <c r="O93" s="119">
        <v>0.005</v>
      </c>
      <c r="P93" s="120">
        <f t="shared" si="17"/>
        <v>1.036042</v>
      </c>
      <c r="Q93" s="119">
        <v>0.01</v>
      </c>
      <c r="R93" s="120">
        <f t="shared" si="18"/>
        <v>1.481042</v>
      </c>
      <c r="S93" s="119">
        <v>0.005</v>
      </c>
      <c r="T93" s="120">
        <f t="shared" si="19"/>
        <v>1.036042</v>
      </c>
      <c r="AG93" s="121">
        <f t="shared" si="23"/>
        <v>37257</v>
      </c>
      <c r="AH93" s="121">
        <f t="shared" si="24"/>
        <v>37257</v>
      </c>
      <c r="AI93" s="121">
        <f t="shared" si="25"/>
        <v>37257</v>
      </c>
      <c r="AJ93" s="121">
        <f t="shared" si="26"/>
        <v>37257</v>
      </c>
      <c r="AK93" s="121">
        <f t="shared" si="27"/>
        <v>37257</v>
      </c>
    </row>
    <row r="94" spans="1:37" ht="15">
      <c r="A94" s="113">
        <v>37288</v>
      </c>
      <c r="B94" s="113" t="e">
        <f t="shared" si="28"/>
        <v>#N/A</v>
      </c>
      <c r="C94" s="108" t="e">
        <f t="shared" si="16"/>
        <v>#N/A</v>
      </c>
      <c r="D94" s="114">
        <f t="shared" si="20"/>
        <v>0</v>
      </c>
      <c r="E94" s="114" t="e">
        <f t="shared" si="29"/>
        <v>#N/A</v>
      </c>
      <c r="F94" s="108" t="e">
        <f t="shared" si="21"/>
        <v>#N/A</v>
      </c>
      <c r="G94" s="114">
        <f t="shared" si="22"/>
        <v>0</v>
      </c>
      <c r="H94" s="110">
        <v>94</v>
      </c>
      <c r="I94" s="115">
        <v>0.0044</v>
      </c>
      <c r="J94" s="116">
        <v>0.0031</v>
      </c>
      <c r="K94" s="115">
        <v>0.001171</v>
      </c>
      <c r="L94" s="116">
        <v>0.0018</v>
      </c>
      <c r="M94" s="117">
        <v>0.0125</v>
      </c>
      <c r="N94" s="118">
        <f>IF(A94&gt;Dados!$C$16,0,IF(A94=Dados!$C$16,1,SUMIF($A$3:$A$500,CONCATENATE("&gt;",TEXT(DATEVALUE(TEXT(A94,"dd/mm/aaaa")),0)),$M$3:$M$500)-SUMIF($A$3:$A$500,CONCATENATE("&gt;",TEXT(Dados!$C$16-1,0)),$M$3:$M$500)+1%))</f>
        <v>0</v>
      </c>
      <c r="O94" s="119">
        <v>0.005</v>
      </c>
      <c r="P94" s="120">
        <f t="shared" si="17"/>
        <v>1.031042</v>
      </c>
      <c r="Q94" s="119">
        <v>0.01</v>
      </c>
      <c r="R94" s="120">
        <f t="shared" si="18"/>
        <v>1.471042</v>
      </c>
      <c r="S94" s="119">
        <v>0.005</v>
      </c>
      <c r="T94" s="120">
        <f t="shared" si="19"/>
        <v>1.031042</v>
      </c>
      <c r="AG94" s="121">
        <f t="shared" si="23"/>
        <v>37288</v>
      </c>
      <c r="AH94" s="121">
        <f t="shared" si="24"/>
        <v>37288</v>
      </c>
      <c r="AI94" s="121">
        <f t="shared" si="25"/>
        <v>37288</v>
      </c>
      <c r="AJ94" s="121">
        <f t="shared" si="26"/>
        <v>37288</v>
      </c>
      <c r="AK94" s="121">
        <f t="shared" si="27"/>
        <v>37288</v>
      </c>
    </row>
    <row r="95" spans="1:37" ht="15">
      <c r="A95" s="113">
        <v>37316</v>
      </c>
      <c r="B95" s="113" t="e">
        <f t="shared" si="28"/>
        <v>#N/A</v>
      </c>
      <c r="C95" s="108" t="e">
        <f t="shared" si="16"/>
        <v>#N/A</v>
      </c>
      <c r="D95" s="114">
        <f t="shared" si="20"/>
        <v>0</v>
      </c>
      <c r="E95" s="114" t="e">
        <f t="shared" si="29"/>
        <v>#N/A</v>
      </c>
      <c r="F95" s="108" t="e">
        <f t="shared" si="21"/>
        <v>#N/A</v>
      </c>
      <c r="G95" s="114">
        <f t="shared" si="22"/>
        <v>0</v>
      </c>
      <c r="H95" s="110">
        <v>95</v>
      </c>
      <c r="I95" s="115">
        <v>0.004</v>
      </c>
      <c r="J95" s="116">
        <v>0.0062</v>
      </c>
      <c r="K95" s="115">
        <v>0.001758</v>
      </c>
      <c r="L95" s="116">
        <v>0.0011</v>
      </c>
      <c r="M95" s="117">
        <v>0.0137</v>
      </c>
      <c r="N95" s="118">
        <f>IF(A95&gt;Dados!$C$16,0,IF(A95=Dados!$C$16,1,SUMIF($A$3:$A$500,CONCATENATE("&gt;",TEXT(DATEVALUE(TEXT(A95,"dd/mm/aaaa")),0)),$M$3:$M$500)-SUMIF($A$3:$A$500,CONCATENATE("&gt;",TEXT(Dados!$C$16-1,0)),$M$3:$M$500)+1%))</f>
        <v>0</v>
      </c>
      <c r="O95" s="119">
        <v>0.005</v>
      </c>
      <c r="P95" s="120">
        <f t="shared" si="17"/>
        <v>1.026042</v>
      </c>
      <c r="Q95" s="119">
        <v>0.01</v>
      </c>
      <c r="R95" s="120">
        <f t="shared" si="18"/>
        <v>1.461042</v>
      </c>
      <c r="S95" s="119">
        <v>0.005</v>
      </c>
      <c r="T95" s="120">
        <f t="shared" si="19"/>
        <v>1.026042</v>
      </c>
      <c r="AG95" s="121">
        <f t="shared" si="23"/>
        <v>37316</v>
      </c>
      <c r="AH95" s="121">
        <f t="shared" si="24"/>
        <v>37316</v>
      </c>
      <c r="AI95" s="121">
        <f t="shared" si="25"/>
        <v>37316</v>
      </c>
      <c r="AJ95" s="121">
        <f t="shared" si="26"/>
        <v>37316</v>
      </c>
      <c r="AK95" s="121">
        <f t="shared" si="27"/>
        <v>37316</v>
      </c>
    </row>
    <row r="96" spans="1:37" ht="15">
      <c r="A96" s="113">
        <v>37347</v>
      </c>
      <c r="B96" s="113" t="e">
        <f t="shared" si="28"/>
        <v>#N/A</v>
      </c>
      <c r="C96" s="108" t="e">
        <f t="shared" si="16"/>
        <v>#N/A</v>
      </c>
      <c r="D96" s="114">
        <f t="shared" si="20"/>
        <v>0</v>
      </c>
      <c r="E96" s="114" t="e">
        <f t="shared" si="29"/>
        <v>#N/A</v>
      </c>
      <c r="F96" s="108" t="e">
        <f t="shared" si="21"/>
        <v>#N/A</v>
      </c>
      <c r="G96" s="114">
        <f t="shared" si="22"/>
        <v>0</v>
      </c>
      <c r="H96" s="110">
        <v>96</v>
      </c>
      <c r="I96" s="115">
        <v>0.0078</v>
      </c>
      <c r="J96" s="116">
        <v>0.0068</v>
      </c>
      <c r="K96" s="115">
        <v>0.002357</v>
      </c>
      <c r="L96" s="116">
        <v>0.007</v>
      </c>
      <c r="M96" s="117">
        <v>0.0148</v>
      </c>
      <c r="N96" s="118">
        <f>IF(A96&gt;Dados!$C$16,0,IF(A96=Dados!$C$16,1,SUMIF($A$3:$A$500,CONCATENATE("&gt;",TEXT(DATEVALUE(TEXT(A96,"dd/mm/aaaa")),0)),$M$3:$M$500)-SUMIF($A$3:$A$500,CONCATENATE("&gt;",TEXT(Dados!$C$16-1,0)),$M$3:$M$500)+1%))</f>
        <v>0</v>
      </c>
      <c r="O96" s="119">
        <v>0.005</v>
      </c>
      <c r="P96" s="120">
        <f t="shared" si="17"/>
        <v>1.021042</v>
      </c>
      <c r="Q96" s="119">
        <v>0.01</v>
      </c>
      <c r="R96" s="120">
        <f t="shared" si="18"/>
        <v>1.451042</v>
      </c>
      <c r="S96" s="119">
        <v>0.005</v>
      </c>
      <c r="T96" s="120">
        <f t="shared" si="19"/>
        <v>1.021042</v>
      </c>
      <c r="AG96" s="121">
        <f t="shared" si="23"/>
        <v>37347</v>
      </c>
      <c r="AH96" s="121">
        <f t="shared" si="24"/>
        <v>37347</v>
      </c>
      <c r="AI96" s="121">
        <f t="shared" si="25"/>
        <v>37347</v>
      </c>
      <c r="AJ96" s="121">
        <f t="shared" si="26"/>
        <v>37347</v>
      </c>
      <c r="AK96" s="121">
        <f t="shared" si="27"/>
        <v>37347</v>
      </c>
    </row>
    <row r="97" spans="1:37" ht="15">
      <c r="A97" s="113">
        <v>37377</v>
      </c>
      <c r="B97" s="113" t="e">
        <f t="shared" si="28"/>
        <v>#N/A</v>
      </c>
      <c r="C97" s="108" t="e">
        <f t="shared" si="16"/>
        <v>#N/A</v>
      </c>
      <c r="D97" s="114">
        <f t="shared" si="20"/>
        <v>0</v>
      </c>
      <c r="E97" s="114" t="e">
        <f t="shared" si="29"/>
        <v>#N/A</v>
      </c>
      <c r="F97" s="108" t="e">
        <f t="shared" si="21"/>
        <v>#N/A</v>
      </c>
      <c r="G97" s="114">
        <f t="shared" si="22"/>
        <v>0</v>
      </c>
      <c r="H97" s="110">
        <v>97</v>
      </c>
      <c r="I97" s="115">
        <v>0.0042</v>
      </c>
      <c r="J97" s="116">
        <v>0.0009</v>
      </c>
      <c r="K97" s="115">
        <v>0.002102</v>
      </c>
      <c r="L97" s="116">
        <v>0.0111</v>
      </c>
      <c r="M97" s="117">
        <v>0.0141</v>
      </c>
      <c r="N97" s="118">
        <f>IF(A97&gt;Dados!$C$16,0,IF(A97=Dados!$C$16,1,SUMIF($A$3:$A$500,CONCATENATE("&gt;",TEXT(DATEVALUE(TEXT(A97,"dd/mm/aaaa")),0)),$M$3:$M$500)-SUMIF($A$3:$A$500,CONCATENATE("&gt;",TEXT(Dados!$C$16-1,0)),$M$3:$M$500)+1%))</f>
        <v>0</v>
      </c>
      <c r="O97" s="119">
        <v>0.005</v>
      </c>
      <c r="P97" s="120">
        <f t="shared" si="17"/>
        <v>1.016042</v>
      </c>
      <c r="Q97" s="119">
        <v>0.01</v>
      </c>
      <c r="R97" s="120">
        <f t="shared" si="18"/>
        <v>1.441042</v>
      </c>
      <c r="S97" s="119">
        <v>0.005</v>
      </c>
      <c r="T97" s="120">
        <f t="shared" si="19"/>
        <v>1.016042</v>
      </c>
      <c r="AG97" s="121">
        <f t="shared" si="23"/>
        <v>37377</v>
      </c>
      <c r="AH97" s="121">
        <f t="shared" si="24"/>
        <v>37377</v>
      </c>
      <c r="AI97" s="121">
        <f t="shared" si="25"/>
        <v>37377</v>
      </c>
      <c r="AJ97" s="121">
        <f t="shared" si="26"/>
        <v>37377</v>
      </c>
      <c r="AK97" s="121">
        <f t="shared" si="27"/>
        <v>37377</v>
      </c>
    </row>
    <row r="98" spans="1:37" ht="15">
      <c r="A98" s="113">
        <v>37408</v>
      </c>
      <c r="B98" s="113" t="e">
        <f t="shared" si="28"/>
        <v>#N/A</v>
      </c>
      <c r="C98" s="108" t="e">
        <f t="shared" si="16"/>
        <v>#N/A</v>
      </c>
      <c r="D98" s="114">
        <f t="shared" si="20"/>
        <v>0</v>
      </c>
      <c r="E98" s="114" t="e">
        <f t="shared" si="29"/>
        <v>#N/A</v>
      </c>
      <c r="F98" s="108" t="e">
        <f t="shared" si="21"/>
        <v>#N/A</v>
      </c>
      <c r="G98" s="114">
        <f t="shared" si="22"/>
        <v>0</v>
      </c>
      <c r="H98" s="110">
        <v>98</v>
      </c>
      <c r="I98" s="115">
        <v>0.0033</v>
      </c>
      <c r="J98" s="116">
        <v>0.0061</v>
      </c>
      <c r="K98" s="115">
        <v>0.001582</v>
      </c>
      <c r="L98" s="116">
        <v>0.0174</v>
      </c>
      <c r="M98" s="117">
        <v>0.0133</v>
      </c>
      <c r="N98" s="118">
        <f>IF(A98&gt;Dados!$C$16,0,IF(A98=Dados!$C$16,1,SUMIF($A$3:$A$500,CONCATENATE("&gt;",TEXT(DATEVALUE(TEXT(A98,"dd/mm/aaaa")),0)),$M$3:$M$500)-SUMIF($A$3:$A$500,CONCATENATE("&gt;",TEXT(Dados!$C$16-1,0)),$M$3:$M$500)+1%))</f>
        <v>0</v>
      </c>
      <c r="O98" s="119">
        <v>0.005</v>
      </c>
      <c r="P98" s="120">
        <f t="shared" si="17"/>
        <v>1.011042</v>
      </c>
      <c r="Q98" s="119">
        <v>0.01</v>
      </c>
      <c r="R98" s="120">
        <f t="shared" si="18"/>
        <v>1.431042</v>
      </c>
      <c r="S98" s="119">
        <v>0.005</v>
      </c>
      <c r="T98" s="120">
        <f t="shared" si="19"/>
        <v>1.011042</v>
      </c>
      <c r="AG98" s="121">
        <f t="shared" si="23"/>
        <v>37408</v>
      </c>
      <c r="AH98" s="121">
        <f t="shared" si="24"/>
        <v>37408</v>
      </c>
      <c r="AI98" s="121">
        <f t="shared" si="25"/>
        <v>37408</v>
      </c>
      <c r="AJ98" s="121">
        <f t="shared" si="26"/>
        <v>37408</v>
      </c>
      <c r="AK98" s="121">
        <f t="shared" si="27"/>
        <v>37408</v>
      </c>
    </row>
    <row r="99" spans="1:37" ht="15">
      <c r="A99" s="113">
        <v>37438</v>
      </c>
      <c r="B99" s="113" t="e">
        <f t="shared" si="28"/>
        <v>#N/A</v>
      </c>
      <c r="C99" s="108" t="e">
        <f t="shared" si="16"/>
        <v>#N/A</v>
      </c>
      <c r="D99" s="114">
        <f t="shared" si="20"/>
        <v>0</v>
      </c>
      <c r="E99" s="114" t="e">
        <f t="shared" si="29"/>
        <v>#N/A</v>
      </c>
      <c r="F99" s="108" t="e">
        <f t="shared" si="21"/>
        <v>#N/A</v>
      </c>
      <c r="G99" s="114">
        <f t="shared" si="22"/>
        <v>0</v>
      </c>
      <c r="H99" s="110">
        <v>99</v>
      </c>
      <c r="I99" s="115">
        <v>0.0077</v>
      </c>
      <c r="J99" s="116">
        <v>0.0115</v>
      </c>
      <c r="K99" s="115">
        <v>0.002656</v>
      </c>
      <c r="L99" s="116">
        <v>0.0205</v>
      </c>
      <c r="M99" s="117">
        <v>0.0154</v>
      </c>
      <c r="N99" s="118">
        <f>IF(A99&gt;Dados!$C$16,0,IF(A99=Dados!$C$16,1,SUMIF($A$3:$A$500,CONCATENATE("&gt;",TEXT(DATEVALUE(TEXT(A99,"dd/mm/aaaa")),0)),$M$3:$M$500)-SUMIF($A$3:$A$500,CONCATENATE("&gt;",TEXT(Dados!$C$16-1,0)),$M$3:$M$500)+1%))</f>
        <v>0</v>
      </c>
      <c r="O99" s="119">
        <v>0.005</v>
      </c>
      <c r="P99" s="120">
        <f t="shared" si="17"/>
        <v>1.006042</v>
      </c>
      <c r="Q99" s="119">
        <v>0.01</v>
      </c>
      <c r="R99" s="120">
        <f t="shared" si="18"/>
        <v>1.421042</v>
      </c>
      <c r="S99" s="119">
        <v>0.005</v>
      </c>
      <c r="T99" s="120">
        <f t="shared" si="19"/>
        <v>1.006042</v>
      </c>
      <c r="AG99" s="121">
        <f t="shared" si="23"/>
        <v>37438</v>
      </c>
      <c r="AH99" s="121">
        <f t="shared" si="24"/>
        <v>37438</v>
      </c>
      <c r="AI99" s="121">
        <f t="shared" si="25"/>
        <v>37438</v>
      </c>
      <c r="AJ99" s="121">
        <f t="shared" si="26"/>
        <v>37438</v>
      </c>
      <c r="AK99" s="121">
        <f t="shared" si="27"/>
        <v>37438</v>
      </c>
    </row>
    <row r="100" spans="1:37" ht="15">
      <c r="A100" s="113">
        <v>37469</v>
      </c>
      <c r="B100" s="113" t="e">
        <f t="shared" si="28"/>
        <v>#N/A</v>
      </c>
      <c r="C100" s="108" t="e">
        <f t="shared" si="16"/>
        <v>#N/A</v>
      </c>
      <c r="D100" s="114">
        <f t="shared" si="20"/>
        <v>0</v>
      </c>
      <c r="E100" s="114" t="e">
        <f t="shared" si="29"/>
        <v>#N/A</v>
      </c>
      <c r="F100" s="108" t="e">
        <f t="shared" si="21"/>
        <v>#N/A</v>
      </c>
      <c r="G100" s="114">
        <f t="shared" si="22"/>
        <v>0</v>
      </c>
      <c r="H100" s="110">
        <v>100</v>
      </c>
      <c r="I100" s="115">
        <v>0.01</v>
      </c>
      <c r="J100" s="116">
        <v>0.0086</v>
      </c>
      <c r="K100" s="115">
        <v>0.002481</v>
      </c>
      <c r="L100" s="116">
        <v>0.0236</v>
      </c>
      <c r="M100" s="117">
        <v>0.0144</v>
      </c>
      <c r="N100" s="118">
        <f>IF(A100&gt;Dados!$C$16,0,IF(A100=Dados!$C$16,1,SUMIF($A$3:$A$500,CONCATENATE("&gt;",TEXT(DATEVALUE(TEXT(A100,"dd/mm/aaaa")),0)),$M$3:$M$500)-SUMIF($A$3:$A$500,CONCATENATE("&gt;",TEXT(Dados!$C$16-1,0)),$M$3:$M$500)+1%))</f>
        <v>0</v>
      </c>
      <c r="O100" s="119">
        <v>0.005</v>
      </c>
      <c r="P100" s="120">
        <f t="shared" si="17"/>
        <v>1.001042</v>
      </c>
      <c r="Q100" s="119">
        <v>0.01</v>
      </c>
      <c r="R100" s="120">
        <f t="shared" si="18"/>
        <v>1.411042</v>
      </c>
      <c r="S100" s="119">
        <v>0.005</v>
      </c>
      <c r="T100" s="120">
        <f t="shared" si="19"/>
        <v>1.001042</v>
      </c>
      <c r="AG100" s="121">
        <f t="shared" si="23"/>
        <v>37469</v>
      </c>
      <c r="AH100" s="121">
        <f t="shared" si="24"/>
        <v>37469</v>
      </c>
      <c r="AI100" s="121">
        <f t="shared" si="25"/>
        <v>37469</v>
      </c>
      <c r="AJ100" s="121">
        <f t="shared" si="26"/>
        <v>37469</v>
      </c>
      <c r="AK100" s="121">
        <f t="shared" si="27"/>
        <v>37469</v>
      </c>
    </row>
    <row r="101" spans="1:37" ht="15">
      <c r="A101" s="113">
        <v>37500</v>
      </c>
      <c r="B101" s="113" t="e">
        <f t="shared" si="28"/>
        <v>#N/A</v>
      </c>
      <c r="C101" s="108" t="e">
        <f t="shared" si="16"/>
        <v>#N/A</v>
      </c>
      <c r="D101" s="114">
        <f t="shared" si="20"/>
        <v>0</v>
      </c>
      <c r="E101" s="114" t="e">
        <f t="shared" si="29"/>
        <v>#N/A</v>
      </c>
      <c r="F101" s="108" t="e">
        <f t="shared" si="21"/>
        <v>#N/A</v>
      </c>
      <c r="G101" s="114">
        <f t="shared" si="22"/>
        <v>0</v>
      </c>
      <c r="H101" s="110">
        <v>101</v>
      </c>
      <c r="I101" s="115">
        <v>0.0062</v>
      </c>
      <c r="J101" s="116">
        <v>0.0083</v>
      </c>
      <c r="K101" s="115">
        <v>0.001955</v>
      </c>
      <c r="L101" s="116">
        <v>0.0264</v>
      </c>
      <c r="M101" s="117">
        <v>0.0138</v>
      </c>
      <c r="N101" s="118">
        <f>IF(A101&gt;Dados!$C$16,0,IF(A101=Dados!$C$16,1,SUMIF($A$3:$A$500,CONCATENATE("&gt;",TEXT(DATEVALUE(TEXT(A101,"dd/mm/aaaa")),0)),$M$3:$M$500)-SUMIF($A$3:$A$500,CONCATENATE("&gt;",TEXT(Dados!$C$16-1,0)),$M$3:$M$500)+1%))</f>
        <v>0</v>
      </c>
      <c r="O101" s="119">
        <v>0.005</v>
      </c>
      <c r="P101" s="120">
        <f t="shared" si="17"/>
        <v>0.996042</v>
      </c>
      <c r="Q101" s="119">
        <v>0.01</v>
      </c>
      <c r="R101" s="120">
        <f t="shared" si="18"/>
        <v>1.401042</v>
      </c>
      <c r="S101" s="119">
        <v>0.005</v>
      </c>
      <c r="T101" s="120">
        <f t="shared" si="19"/>
        <v>0.996042</v>
      </c>
      <c r="AG101" s="121">
        <f t="shared" si="23"/>
        <v>37500</v>
      </c>
      <c r="AH101" s="121">
        <f t="shared" si="24"/>
        <v>37500</v>
      </c>
      <c r="AI101" s="121">
        <f t="shared" si="25"/>
        <v>37500</v>
      </c>
      <c r="AJ101" s="121">
        <f t="shared" si="26"/>
        <v>37500</v>
      </c>
      <c r="AK101" s="121">
        <f t="shared" si="27"/>
        <v>37500</v>
      </c>
    </row>
    <row r="102" spans="1:37" ht="15">
      <c r="A102" s="113">
        <v>37530</v>
      </c>
      <c r="B102" s="113" t="e">
        <f t="shared" si="28"/>
        <v>#N/A</v>
      </c>
      <c r="C102" s="108" t="e">
        <f t="shared" si="16"/>
        <v>#N/A</v>
      </c>
      <c r="D102" s="114">
        <f t="shared" si="20"/>
        <v>0</v>
      </c>
      <c r="E102" s="114" t="e">
        <f t="shared" si="29"/>
        <v>#N/A</v>
      </c>
      <c r="F102" s="108" t="e">
        <f t="shared" si="21"/>
        <v>#N/A</v>
      </c>
      <c r="G102" s="114">
        <f t="shared" si="22"/>
        <v>0</v>
      </c>
      <c r="H102" s="110">
        <v>102</v>
      </c>
      <c r="I102" s="115">
        <v>0.009</v>
      </c>
      <c r="J102" s="116">
        <v>0.0157</v>
      </c>
      <c r="K102" s="115">
        <v>0.002768</v>
      </c>
      <c r="L102" s="116">
        <v>0.0421</v>
      </c>
      <c r="M102" s="117">
        <v>0.0165</v>
      </c>
      <c r="N102" s="118">
        <f>IF(A102&gt;Dados!$C$16,0,IF(A102=Dados!$C$16,1,SUMIF($A$3:$A$500,CONCATENATE("&gt;",TEXT(DATEVALUE(TEXT(A102,"dd/mm/aaaa")),0)),$M$3:$M$500)-SUMIF($A$3:$A$500,CONCATENATE("&gt;",TEXT(Dados!$C$16-1,0)),$M$3:$M$500)+1%))</f>
        <v>0</v>
      </c>
      <c r="O102" s="119">
        <v>0.005</v>
      </c>
      <c r="P102" s="120">
        <f t="shared" si="17"/>
        <v>0.991042</v>
      </c>
      <c r="Q102" s="119">
        <v>0.01</v>
      </c>
      <c r="R102" s="120">
        <f t="shared" si="18"/>
        <v>1.391042</v>
      </c>
      <c r="S102" s="119">
        <v>0.005</v>
      </c>
      <c r="T102" s="120">
        <f t="shared" si="19"/>
        <v>0.991042</v>
      </c>
      <c r="AG102" s="121">
        <f t="shared" si="23"/>
        <v>37530</v>
      </c>
      <c r="AH102" s="121">
        <f t="shared" si="24"/>
        <v>37530</v>
      </c>
      <c r="AI102" s="121">
        <f t="shared" si="25"/>
        <v>37530</v>
      </c>
      <c r="AJ102" s="121">
        <f t="shared" si="26"/>
        <v>37530</v>
      </c>
      <c r="AK102" s="121">
        <f t="shared" si="27"/>
        <v>37530</v>
      </c>
    </row>
    <row r="103" spans="1:37" ht="15">
      <c r="A103" s="113">
        <v>37561</v>
      </c>
      <c r="B103" s="113" t="e">
        <f t="shared" si="28"/>
        <v>#N/A</v>
      </c>
      <c r="C103" s="108" t="e">
        <f t="shared" si="16"/>
        <v>#N/A</v>
      </c>
      <c r="D103" s="114">
        <f t="shared" si="20"/>
        <v>0</v>
      </c>
      <c r="E103" s="114" t="e">
        <f t="shared" si="29"/>
        <v>#N/A</v>
      </c>
      <c r="F103" s="108" t="e">
        <f t="shared" si="21"/>
        <v>#N/A</v>
      </c>
      <c r="G103" s="114">
        <f t="shared" si="22"/>
        <v>0</v>
      </c>
      <c r="H103" s="110">
        <v>103</v>
      </c>
      <c r="I103" s="115">
        <v>0.0208</v>
      </c>
      <c r="J103" s="116">
        <v>0.0339</v>
      </c>
      <c r="K103" s="115">
        <v>0.002644</v>
      </c>
      <c r="L103" s="116">
        <v>0.0584</v>
      </c>
      <c r="M103" s="117">
        <v>0.0154</v>
      </c>
      <c r="N103" s="118">
        <f>IF(A103&gt;Dados!$C$16,0,IF(A103=Dados!$C$16,1,SUMIF($A$3:$A$500,CONCATENATE("&gt;",TEXT(DATEVALUE(TEXT(A103,"dd/mm/aaaa")),0)),$M$3:$M$500)-SUMIF($A$3:$A$500,CONCATENATE("&gt;",TEXT(Dados!$C$16-1,0)),$M$3:$M$500)+1%))</f>
        <v>0</v>
      </c>
      <c r="O103" s="119">
        <v>0.005</v>
      </c>
      <c r="P103" s="120">
        <f t="shared" si="17"/>
        <v>0.986042</v>
      </c>
      <c r="Q103" s="119">
        <v>0.01</v>
      </c>
      <c r="R103" s="120">
        <f t="shared" si="18"/>
        <v>1.381042</v>
      </c>
      <c r="S103" s="119">
        <v>0.005</v>
      </c>
      <c r="T103" s="120">
        <f t="shared" si="19"/>
        <v>0.986042</v>
      </c>
      <c r="AG103" s="121">
        <f t="shared" si="23"/>
        <v>37561</v>
      </c>
      <c r="AH103" s="121">
        <f t="shared" si="24"/>
        <v>37561</v>
      </c>
      <c r="AI103" s="121">
        <f t="shared" si="25"/>
        <v>37561</v>
      </c>
      <c r="AJ103" s="121">
        <f t="shared" si="26"/>
        <v>37561</v>
      </c>
      <c r="AK103" s="121">
        <f t="shared" si="27"/>
        <v>37561</v>
      </c>
    </row>
    <row r="104" spans="1:37" ht="15">
      <c r="A104" s="113">
        <v>37591</v>
      </c>
      <c r="B104" s="113" t="e">
        <f t="shared" si="28"/>
        <v>#N/A</v>
      </c>
      <c r="C104" s="108" t="e">
        <f t="shared" si="16"/>
        <v>#N/A</v>
      </c>
      <c r="D104" s="114">
        <f t="shared" si="20"/>
        <v>0</v>
      </c>
      <c r="E104" s="114" t="e">
        <f t="shared" si="29"/>
        <v>#N/A</v>
      </c>
      <c r="F104" s="108" t="e">
        <f t="shared" si="21"/>
        <v>#N/A</v>
      </c>
      <c r="G104" s="114">
        <f t="shared" si="22"/>
        <v>0</v>
      </c>
      <c r="H104" s="110">
        <v>104</v>
      </c>
      <c r="I104" s="115">
        <v>0.0305</v>
      </c>
      <c r="J104" s="116">
        <v>0.027</v>
      </c>
      <c r="K104" s="115">
        <v>0.003609</v>
      </c>
      <c r="L104" s="116">
        <v>0.027</v>
      </c>
      <c r="M104" s="117">
        <v>0.0174</v>
      </c>
      <c r="N104" s="118">
        <f>IF(A104&gt;Dados!$C$16,0,IF(A104=Dados!$C$16,1,SUMIF($A$3:$A$500,CONCATENATE("&gt;",TEXT(DATEVALUE(TEXT(A104,"dd/mm/aaaa")),0)),$M$3:$M$500)-SUMIF($A$3:$A$500,CONCATENATE("&gt;",TEXT(Dados!$C$16-1,0)),$M$3:$M$500)+1%))</f>
        <v>0</v>
      </c>
      <c r="O104" s="119">
        <v>0.005</v>
      </c>
      <c r="P104" s="120">
        <f t="shared" si="17"/>
        <v>0.981042</v>
      </c>
      <c r="Q104" s="119">
        <v>0.01</v>
      </c>
      <c r="R104" s="120">
        <f t="shared" si="18"/>
        <v>1.371042</v>
      </c>
      <c r="S104" s="119">
        <v>0.005</v>
      </c>
      <c r="T104" s="120">
        <f t="shared" si="19"/>
        <v>0.981042</v>
      </c>
      <c r="AG104" s="121">
        <f t="shared" si="23"/>
        <v>37591</v>
      </c>
      <c r="AH104" s="121">
        <f t="shared" si="24"/>
        <v>37591</v>
      </c>
      <c r="AI104" s="121">
        <f t="shared" si="25"/>
        <v>37591</v>
      </c>
      <c r="AJ104" s="121">
        <f t="shared" si="26"/>
        <v>37591</v>
      </c>
      <c r="AK104" s="121">
        <f t="shared" si="27"/>
        <v>37591</v>
      </c>
    </row>
    <row r="105" spans="1:37" ht="15">
      <c r="A105" s="113">
        <v>37622</v>
      </c>
      <c r="B105" s="113" t="e">
        <f t="shared" si="28"/>
        <v>#N/A</v>
      </c>
      <c r="C105" s="108" t="e">
        <f t="shared" si="16"/>
        <v>#N/A</v>
      </c>
      <c r="D105" s="114">
        <f t="shared" si="20"/>
        <v>0</v>
      </c>
      <c r="E105" s="114" t="e">
        <f t="shared" si="29"/>
        <v>#N/A</v>
      </c>
      <c r="F105" s="108" t="e">
        <f t="shared" si="21"/>
        <v>#N/A</v>
      </c>
      <c r="G105" s="114">
        <f t="shared" si="22"/>
        <v>0</v>
      </c>
      <c r="H105" s="110">
        <v>105</v>
      </c>
      <c r="I105" s="115">
        <v>0.0198</v>
      </c>
      <c r="J105" s="116">
        <v>0.0247</v>
      </c>
      <c r="K105" s="115">
        <v>0.004878</v>
      </c>
      <c r="L105" s="116">
        <v>0.0217</v>
      </c>
      <c r="M105" s="117">
        <v>0.0197</v>
      </c>
      <c r="N105" s="118">
        <f>IF(A105&gt;Dados!$C$16,0,IF(A105=Dados!$C$16,1,SUMIF($A$3:$A$500,CONCATENATE("&gt;",TEXT(DATEVALUE(TEXT(A105,"dd/mm/aaaa")),0)),$M$3:$M$500)-SUMIF($A$3:$A$500,CONCATENATE("&gt;",TEXT(Dados!$C$16-1,0)),$M$3:$M$500)+1%))</f>
        <v>0</v>
      </c>
      <c r="O105" s="119">
        <v>0.005</v>
      </c>
      <c r="P105" s="120">
        <f t="shared" si="17"/>
        <v>0.976042</v>
      </c>
      <c r="Q105" s="119">
        <v>0.01</v>
      </c>
      <c r="R105" s="120">
        <f t="shared" si="18"/>
        <v>1.361042</v>
      </c>
      <c r="S105" s="119">
        <v>0.005</v>
      </c>
      <c r="T105" s="120">
        <f t="shared" si="19"/>
        <v>0.976042</v>
      </c>
      <c r="AG105" s="121">
        <f t="shared" si="23"/>
        <v>37622</v>
      </c>
      <c r="AH105" s="121">
        <f t="shared" si="24"/>
        <v>37622</v>
      </c>
      <c r="AI105" s="121">
        <f t="shared" si="25"/>
        <v>37622</v>
      </c>
      <c r="AJ105" s="121">
        <f t="shared" si="26"/>
        <v>37622</v>
      </c>
      <c r="AK105" s="121">
        <f t="shared" si="27"/>
        <v>37622</v>
      </c>
    </row>
    <row r="106" spans="1:37" ht="15">
      <c r="A106" s="113">
        <v>37653</v>
      </c>
      <c r="B106" s="113" t="e">
        <f t="shared" si="28"/>
        <v>#N/A</v>
      </c>
      <c r="C106" s="108" t="e">
        <f t="shared" si="16"/>
        <v>#N/A</v>
      </c>
      <c r="D106" s="114">
        <f t="shared" si="20"/>
        <v>0</v>
      </c>
      <c r="E106" s="114" t="e">
        <f t="shared" si="29"/>
        <v>#N/A</v>
      </c>
      <c r="F106" s="108" t="e">
        <f t="shared" si="21"/>
        <v>#N/A</v>
      </c>
      <c r="G106" s="114">
        <f t="shared" si="22"/>
        <v>0</v>
      </c>
      <c r="H106" s="110">
        <v>106</v>
      </c>
      <c r="I106" s="115">
        <v>0.0219</v>
      </c>
      <c r="J106" s="116">
        <v>0.0146</v>
      </c>
      <c r="K106" s="115">
        <v>0.004116</v>
      </c>
      <c r="L106" s="116">
        <v>0.0159</v>
      </c>
      <c r="M106" s="117">
        <v>0.0183</v>
      </c>
      <c r="N106" s="118">
        <f>IF(A106&gt;Dados!$C$16,0,IF(A106=Dados!$C$16,1,SUMIF($A$3:$A$500,CONCATENATE("&gt;",TEXT(DATEVALUE(TEXT(A106,"dd/mm/aaaa")),0)),$M$3:$M$500)-SUMIF($A$3:$A$500,CONCATENATE("&gt;",TEXT(Dados!$C$16-1,0)),$M$3:$M$500)+1%))</f>
        <v>0</v>
      </c>
      <c r="O106" s="119">
        <v>0.005</v>
      </c>
      <c r="P106" s="120">
        <f t="shared" si="17"/>
        <v>0.971042</v>
      </c>
      <c r="Q106" s="119">
        <v>0.01</v>
      </c>
      <c r="R106" s="120">
        <f t="shared" si="18"/>
        <v>1.351042</v>
      </c>
      <c r="S106" s="119">
        <v>0.005</v>
      </c>
      <c r="T106" s="120">
        <f t="shared" si="19"/>
        <v>0.971042</v>
      </c>
      <c r="AG106" s="121">
        <f t="shared" si="23"/>
        <v>37653</v>
      </c>
      <c r="AH106" s="121">
        <f t="shared" si="24"/>
        <v>37653</v>
      </c>
      <c r="AI106" s="121">
        <f t="shared" si="25"/>
        <v>37653</v>
      </c>
      <c r="AJ106" s="121">
        <f t="shared" si="26"/>
        <v>37653</v>
      </c>
      <c r="AK106" s="121">
        <f t="shared" si="27"/>
        <v>37653</v>
      </c>
    </row>
    <row r="107" spans="1:37" ht="15">
      <c r="A107" s="113">
        <v>37681</v>
      </c>
      <c r="B107" s="113" t="e">
        <f t="shared" si="28"/>
        <v>#N/A</v>
      </c>
      <c r="C107" s="108" t="e">
        <f t="shared" si="16"/>
        <v>#N/A</v>
      </c>
      <c r="D107" s="114">
        <f t="shared" si="20"/>
        <v>0</v>
      </c>
      <c r="E107" s="114" t="e">
        <f t="shared" si="29"/>
        <v>#N/A</v>
      </c>
      <c r="F107" s="108" t="e">
        <f t="shared" si="21"/>
        <v>#N/A</v>
      </c>
      <c r="G107" s="114">
        <f t="shared" si="22"/>
        <v>0</v>
      </c>
      <c r="H107" s="110">
        <v>107</v>
      </c>
      <c r="I107" s="115">
        <v>0.0114</v>
      </c>
      <c r="J107" s="116">
        <v>0.0137</v>
      </c>
      <c r="K107" s="115">
        <v>0.003782</v>
      </c>
      <c r="L107" s="116">
        <v>0.0166</v>
      </c>
      <c r="M107" s="117">
        <v>0.0178</v>
      </c>
      <c r="N107" s="118">
        <f>IF(A107&gt;Dados!$C$16,0,IF(A107=Dados!$C$16,1,SUMIF($A$3:$A$500,CONCATENATE("&gt;",TEXT(DATEVALUE(TEXT(A107,"dd/mm/aaaa")),0)),$M$3:$M$500)-SUMIF($A$3:$A$500,CONCATENATE("&gt;",TEXT(Dados!$C$16-1,0)),$M$3:$M$500)+1%))</f>
        <v>0</v>
      </c>
      <c r="O107" s="119">
        <v>0.005</v>
      </c>
      <c r="P107" s="120">
        <f t="shared" si="17"/>
        <v>0.966042</v>
      </c>
      <c r="Q107" s="119">
        <v>0.01</v>
      </c>
      <c r="R107" s="120">
        <f t="shared" si="18"/>
        <v>1.341042</v>
      </c>
      <c r="S107" s="119">
        <v>0.005</v>
      </c>
      <c r="T107" s="120">
        <f t="shared" si="19"/>
        <v>0.966042</v>
      </c>
      <c r="AG107" s="121">
        <f t="shared" si="23"/>
        <v>37681</v>
      </c>
      <c r="AH107" s="121">
        <f t="shared" si="24"/>
        <v>37681</v>
      </c>
      <c r="AI107" s="121">
        <f t="shared" si="25"/>
        <v>37681</v>
      </c>
      <c r="AJ107" s="121">
        <f t="shared" si="26"/>
        <v>37681</v>
      </c>
      <c r="AK107" s="121">
        <f t="shared" si="27"/>
        <v>37681</v>
      </c>
    </row>
    <row r="108" spans="1:37" ht="15">
      <c r="A108" s="113">
        <v>37712</v>
      </c>
      <c r="B108" s="113" t="e">
        <f t="shared" si="28"/>
        <v>#N/A</v>
      </c>
      <c r="C108" s="108" t="e">
        <f t="shared" si="16"/>
        <v>#N/A</v>
      </c>
      <c r="D108" s="114">
        <f t="shared" si="20"/>
        <v>0</v>
      </c>
      <c r="E108" s="114" t="e">
        <f t="shared" si="29"/>
        <v>#N/A</v>
      </c>
      <c r="F108" s="108" t="e">
        <f t="shared" si="21"/>
        <v>#N/A</v>
      </c>
      <c r="G108" s="114">
        <f t="shared" si="22"/>
        <v>0</v>
      </c>
      <c r="H108" s="110">
        <v>108</v>
      </c>
      <c r="I108" s="115">
        <v>0.0114</v>
      </c>
      <c r="J108" s="116">
        <v>0.0138</v>
      </c>
      <c r="K108" s="115">
        <v>0.004184</v>
      </c>
      <c r="L108" s="116">
        <v>0.0041</v>
      </c>
      <c r="M108" s="117">
        <v>0.0187</v>
      </c>
      <c r="N108" s="118">
        <f>IF(A108&gt;Dados!$C$16,0,IF(A108=Dados!$C$16,1,SUMIF($A$3:$A$500,CONCATENATE("&gt;",TEXT(DATEVALUE(TEXT(A108,"dd/mm/aaaa")),0)),$M$3:$M$500)-SUMIF($A$3:$A$500,CONCATENATE("&gt;",TEXT(Dados!$C$16-1,0)),$M$3:$M$500)+1%))</f>
        <v>0</v>
      </c>
      <c r="O108" s="119">
        <v>0.005</v>
      </c>
      <c r="P108" s="120">
        <f t="shared" si="17"/>
        <v>0.961042</v>
      </c>
      <c r="Q108" s="119">
        <v>0.01</v>
      </c>
      <c r="R108" s="120">
        <f t="shared" si="18"/>
        <v>1.331042</v>
      </c>
      <c r="S108" s="119">
        <v>0.005</v>
      </c>
      <c r="T108" s="120">
        <f t="shared" si="19"/>
        <v>0.961042</v>
      </c>
      <c r="AG108" s="121">
        <f t="shared" si="23"/>
        <v>37712</v>
      </c>
      <c r="AH108" s="121">
        <f t="shared" si="24"/>
        <v>37712</v>
      </c>
      <c r="AI108" s="121">
        <f t="shared" si="25"/>
        <v>37712</v>
      </c>
      <c r="AJ108" s="121">
        <f t="shared" si="26"/>
        <v>37712</v>
      </c>
      <c r="AK108" s="121">
        <f t="shared" si="27"/>
        <v>37712</v>
      </c>
    </row>
    <row r="109" spans="1:37" ht="15">
      <c r="A109" s="113">
        <v>37742</v>
      </c>
      <c r="B109" s="113" t="e">
        <f t="shared" si="28"/>
        <v>#N/A</v>
      </c>
      <c r="C109" s="108" t="e">
        <f t="shared" si="16"/>
        <v>#N/A</v>
      </c>
      <c r="D109" s="114">
        <f t="shared" si="20"/>
        <v>0</v>
      </c>
      <c r="E109" s="114" t="e">
        <f t="shared" si="29"/>
        <v>#N/A</v>
      </c>
      <c r="F109" s="108" t="e">
        <f t="shared" si="21"/>
        <v>#N/A</v>
      </c>
      <c r="G109" s="114">
        <f t="shared" si="22"/>
        <v>0</v>
      </c>
      <c r="H109" s="110">
        <v>109</v>
      </c>
      <c r="I109" s="115">
        <v>0.0085</v>
      </c>
      <c r="J109" s="116">
        <v>0.0099</v>
      </c>
      <c r="K109" s="115">
        <v>0.00465</v>
      </c>
      <c r="L109" s="116">
        <v>-0.0067</v>
      </c>
      <c r="M109" s="117">
        <v>0.0197</v>
      </c>
      <c r="N109" s="118">
        <f>IF(A109&gt;Dados!$C$16,0,IF(A109=Dados!$C$16,1,SUMIF($A$3:$A$500,CONCATENATE("&gt;",TEXT(DATEVALUE(TEXT(A109,"dd/mm/aaaa")),0)),$M$3:$M$500)-SUMIF($A$3:$A$500,CONCATENATE("&gt;",TEXT(Dados!$C$16-1,0)),$M$3:$M$500)+1%))</f>
        <v>0</v>
      </c>
      <c r="O109" s="119">
        <v>0.005</v>
      </c>
      <c r="P109" s="120">
        <f t="shared" si="17"/>
        <v>0.956042</v>
      </c>
      <c r="Q109" s="119">
        <v>0.01</v>
      </c>
      <c r="R109" s="120">
        <f t="shared" si="18"/>
        <v>1.321042</v>
      </c>
      <c r="S109" s="119">
        <v>0.005</v>
      </c>
      <c r="T109" s="120">
        <f t="shared" si="19"/>
        <v>0.956042</v>
      </c>
      <c r="AG109" s="121">
        <f t="shared" si="23"/>
        <v>37742</v>
      </c>
      <c r="AH109" s="121">
        <f t="shared" si="24"/>
        <v>37742</v>
      </c>
      <c r="AI109" s="121">
        <f t="shared" si="25"/>
        <v>37742</v>
      </c>
      <c r="AJ109" s="121">
        <f t="shared" si="26"/>
        <v>37742</v>
      </c>
      <c r="AK109" s="121">
        <f t="shared" si="27"/>
        <v>37742</v>
      </c>
    </row>
    <row r="110" spans="1:37" ht="15">
      <c r="A110" s="113">
        <v>37773</v>
      </c>
      <c r="B110" s="113" t="e">
        <f t="shared" si="28"/>
        <v>#N/A</v>
      </c>
      <c r="C110" s="108" t="e">
        <f t="shared" si="16"/>
        <v>#N/A</v>
      </c>
      <c r="D110" s="114">
        <f t="shared" si="20"/>
        <v>0</v>
      </c>
      <c r="E110" s="114" t="e">
        <f t="shared" si="29"/>
        <v>#N/A</v>
      </c>
      <c r="F110" s="108" t="e">
        <f t="shared" si="21"/>
        <v>#N/A</v>
      </c>
      <c r="G110" s="114">
        <f t="shared" si="22"/>
        <v>0</v>
      </c>
      <c r="H110" s="110">
        <v>110</v>
      </c>
      <c r="I110" s="115">
        <v>0.0022</v>
      </c>
      <c r="J110" s="116">
        <v>-0.0006</v>
      </c>
      <c r="K110" s="115">
        <v>0.004166</v>
      </c>
      <c r="L110" s="116">
        <v>-0.007</v>
      </c>
      <c r="M110" s="117">
        <v>0.0186</v>
      </c>
      <c r="N110" s="118">
        <f>IF(A110&gt;Dados!$C$16,0,IF(A110=Dados!$C$16,1,SUMIF($A$3:$A$500,CONCATENATE("&gt;",TEXT(DATEVALUE(TEXT(A110,"dd/mm/aaaa")),0)),$M$3:$M$500)-SUMIF($A$3:$A$500,CONCATENATE("&gt;",TEXT(Dados!$C$16-1,0)),$M$3:$M$500)+1%))</f>
        <v>0</v>
      </c>
      <c r="O110" s="119">
        <v>0.005</v>
      </c>
      <c r="P110" s="120">
        <f t="shared" si="17"/>
        <v>0.951042</v>
      </c>
      <c r="Q110" s="119">
        <v>0.01</v>
      </c>
      <c r="R110" s="120">
        <f t="shared" si="18"/>
        <v>1.311042</v>
      </c>
      <c r="S110" s="119">
        <v>0.005</v>
      </c>
      <c r="T110" s="120">
        <f t="shared" si="19"/>
        <v>0.951042</v>
      </c>
      <c r="AG110" s="121">
        <f t="shared" si="23"/>
        <v>37773</v>
      </c>
      <c r="AH110" s="121">
        <f t="shared" si="24"/>
        <v>37773</v>
      </c>
      <c r="AI110" s="121">
        <f t="shared" si="25"/>
        <v>37773</v>
      </c>
      <c r="AJ110" s="121">
        <f t="shared" si="26"/>
        <v>37773</v>
      </c>
      <c r="AK110" s="121">
        <f t="shared" si="27"/>
        <v>37773</v>
      </c>
    </row>
    <row r="111" spans="1:37" ht="15">
      <c r="A111" s="113">
        <v>37803</v>
      </c>
      <c r="B111" s="113" t="e">
        <f t="shared" si="28"/>
        <v>#N/A</v>
      </c>
      <c r="C111" s="108" t="e">
        <f t="shared" si="16"/>
        <v>#N/A</v>
      </c>
      <c r="D111" s="114">
        <f t="shared" si="20"/>
        <v>0</v>
      </c>
      <c r="E111" s="114" t="e">
        <f t="shared" si="29"/>
        <v>#N/A</v>
      </c>
      <c r="F111" s="108" t="e">
        <f t="shared" si="21"/>
        <v>#N/A</v>
      </c>
      <c r="G111" s="114">
        <f t="shared" si="22"/>
        <v>0</v>
      </c>
      <c r="H111" s="110">
        <v>111</v>
      </c>
      <c r="I111" s="115">
        <v>-0.0018</v>
      </c>
      <c r="J111" s="116">
        <v>0.0004</v>
      </c>
      <c r="K111" s="115">
        <v>0.005465</v>
      </c>
      <c r="L111" s="116">
        <v>-0.002</v>
      </c>
      <c r="M111" s="117">
        <v>0.0208</v>
      </c>
      <c r="N111" s="118">
        <f>IF(A111&gt;Dados!$C$16,0,IF(A111=Dados!$C$16,1,SUMIF($A$3:$A$500,CONCATENATE("&gt;",TEXT(DATEVALUE(TEXT(A111,"dd/mm/aaaa")),0)),$M$3:$M$500)-SUMIF($A$3:$A$500,CONCATENATE("&gt;",TEXT(Dados!$C$16-1,0)),$M$3:$M$500)+1%))</f>
        <v>0</v>
      </c>
      <c r="O111" s="119">
        <v>0.005</v>
      </c>
      <c r="P111" s="120">
        <f t="shared" si="17"/>
        <v>0.946042</v>
      </c>
      <c r="Q111" s="119">
        <v>0.01</v>
      </c>
      <c r="R111" s="120">
        <f t="shared" si="18"/>
        <v>1.301042</v>
      </c>
      <c r="S111" s="119">
        <v>0.005</v>
      </c>
      <c r="T111" s="120">
        <f t="shared" si="19"/>
        <v>0.946042</v>
      </c>
      <c r="AG111" s="121">
        <f t="shared" si="23"/>
        <v>37803</v>
      </c>
      <c r="AH111" s="121">
        <f t="shared" si="24"/>
        <v>37803</v>
      </c>
      <c r="AI111" s="121">
        <f t="shared" si="25"/>
        <v>37803</v>
      </c>
      <c r="AJ111" s="121">
        <f t="shared" si="26"/>
        <v>37803</v>
      </c>
      <c r="AK111" s="121">
        <f t="shared" si="27"/>
        <v>37803</v>
      </c>
    </row>
    <row r="112" spans="1:37" ht="15">
      <c r="A112" s="113">
        <v>37834</v>
      </c>
      <c r="B112" s="113" t="e">
        <f t="shared" si="28"/>
        <v>#N/A</v>
      </c>
      <c r="C112" s="108" t="e">
        <f t="shared" si="16"/>
        <v>#N/A</v>
      </c>
      <c r="D112" s="114">
        <f t="shared" si="20"/>
        <v>0</v>
      </c>
      <c r="E112" s="114" t="e">
        <f t="shared" si="29"/>
        <v>#N/A</v>
      </c>
      <c r="F112" s="108" t="e">
        <f t="shared" si="21"/>
        <v>#N/A</v>
      </c>
      <c r="G112" s="114">
        <f t="shared" si="22"/>
        <v>0</v>
      </c>
      <c r="H112" s="110">
        <v>112</v>
      </c>
      <c r="I112" s="115">
        <v>0.0027</v>
      </c>
      <c r="J112" s="116">
        <v>0.0018</v>
      </c>
      <c r="K112" s="115">
        <v>0.004038</v>
      </c>
      <c r="L112" s="116">
        <v>0.0062</v>
      </c>
      <c r="M112" s="117">
        <v>0.0177</v>
      </c>
      <c r="N112" s="118">
        <f>IF(A112&gt;Dados!$C$16,0,IF(A112=Dados!$C$16,1,SUMIF($A$3:$A$500,CONCATENATE("&gt;",TEXT(DATEVALUE(TEXT(A112,"dd/mm/aaaa")),0)),$M$3:$M$500)-SUMIF($A$3:$A$500,CONCATENATE("&gt;",TEXT(Dados!$C$16-1,0)),$M$3:$M$500)+1%))</f>
        <v>0</v>
      </c>
      <c r="O112" s="119">
        <v>0.005</v>
      </c>
      <c r="P112" s="120">
        <f t="shared" si="17"/>
        <v>0.941042</v>
      </c>
      <c r="Q112" s="119">
        <v>0.01</v>
      </c>
      <c r="R112" s="120">
        <f t="shared" si="18"/>
        <v>1.291042</v>
      </c>
      <c r="S112" s="119">
        <v>0.005</v>
      </c>
      <c r="T112" s="120">
        <f t="shared" si="19"/>
        <v>0.941042</v>
      </c>
      <c r="AG112" s="121">
        <f t="shared" si="23"/>
        <v>37834</v>
      </c>
      <c r="AH112" s="121">
        <f t="shared" si="24"/>
        <v>37834</v>
      </c>
      <c r="AI112" s="121">
        <f t="shared" si="25"/>
        <v>37834</v>
      </c>
      <c r="AJ112" s="121">
        <f t="shared" si="26"/>
        <v>37834</v>
      </c>
      <c r="AK112" s="121">
        <f t="shared" si="27"/>
        <v>37834</v>
      </c>
    </row>
    <row r="113" spans="1:37" ht="15">
      <c r="A113" s="113">
        <v>37865</v>
      </c>
      <c r="B113" s="113" t="e">
        <f t="shared" si="28"/>
        <v>#N/A</v>
      </c>
      <c r="C113" s="108" t="e">
        <f t="shared" si="16"/>
        <v>#N/A</v>
      </c>
      <c r="D113" s="114">
        <f t="shared" si="20"/>
        <v>0</v>
      </c>
      <c r="E113" s="114" t="e">
        <f t="shared" si="29"/>
        <v>#N/A</v>
      </c>
      <c r="F113" s="108" t="e">
        <f t="shared" si="21"/>
        <v>#N/A</v>
      </c>
      <c r="G113" s="114">
        <f t="shared" si="22"/>
        <v>0</v>
      </c>
      <c r="H113" s="110">
        <v>113</v>
      </c>
      <c r="I113" s="115">
        <v>0.0057</v>
      </c>
      <c r="J113" s="116">
        <v>0.0082</v>
      </c>
      <c r="K113" s="115">
        <v>0.003364</v>
      </c>
      <c r="L113" s="116">
        <v>0.0105</v>
      </c>
      <c r="M113" s="117">
        <v>0.0168</v>
      </c>
      <c r="N113" s="118">
        <f>IF(A113&gt;Dados!$C$16,0,IF(A113=Dados!$C$16,1,SUMIF($A$3:$A$500,CONCATENATE("&gt;",TEXT(DATEVALUE(TEXT(A113,"dd/mm/aaaa")),0)),$M$3:$M$500)-SUMIF($A$3:$A$500,CONCATENATE("&gt;",TEXT(Dados!$C$16-1,0)),$M$3:$M$500)+1%))</f>
        <v>0</v>
      </c>
      <c r="O113" s="119">
        <v>0.005</v>
      </c>
      <c r="P113" s="120">
        <f t="shared" si="17"/>
        <v>0.936042</v>
      </c>
      <c r="Q113" s="119">
        <v>0.01</v>
      </c>
      <c r="R113" s="120">
        <f t="shared" si="18"/>
        <v>1.281042</v>
      </c>
      <c r="S113" s="119">
        <v>0.005</v>
      </c>
      <c r="T113" s="120">
        <f t="shared" si="19"/>
        <v>0.936042</v>
      </c>
      <c r="AG113" s="121">
        <f t="shared" si="23"/>
        <v>37865</v>
      </c>
      <c r="AH113" s="121">
        <f t="shared" si="24"/>
        <v>37865</v>
      </c>
      <c r="AI113" s="121">
        <f t="shared" si="25"/>
        <v>37865</v>
      </c>
      <c r="AJ113" s="121">
        <f t="shared" si="26"/>
        <v>37865</v>
      </c>
      <c r="AK113" s="121">
        <f t="shared" si="27"/>
        <v>37865</v>
      </c>
    </row>
    <row r="114" spans="1:37" ht="15">
      <c r="A114" s="113">
        <v>37895</v>
      </c>
      <c r="B114" s="113" t="e">
        <f t="shared" si="28"/>
        <v>#N/A</v>
      </c>
      <c r="C114" s="108" t="e">
        <f t="shared" si="16"/>
        <v>#N/A</v>
      </c>
      <c r="D114" s="114">
        <f t="shared" si="20"/>
        <v>0</v>
      </c>
      <c r="E114" s="114" t="e">
        <f t="shared" si="29"/>
        <v>#N/A</v>
      </c>
      <c r="F114" s="108" t="e">
        <f t="shared" si="21"/>
        <v>#N/A</v>
      </c>
      <c r="G114" s="114">
        <f t="shared" si="22"/>
        <v>0</v>
      </c>
      <c r="H114" s="110">
        <v>114</v>
      </c>
      <c r="I114" s="115">
        <v>0.0066</v>
      </c>
      <c r="J114" s="116">
        <v>0.0039</v>
      </c>
      <c r="K114" s="115">
        <v>0.003213</v>
      </c>
      <c r="L114" s="116">
        <v>0.0044</v>
      </c>
      <c r="M114" s="117">
        <v>0.0164</v>
      </c>
      <c r="N114" s="118">
        <f>IF(A114&gt;Dados!$C$16,0,IF(A114=Dados!$C$16,1,SUMIF($A$3:$A$500,CONCATENATE("&gt;",TEXT(DATEVALUE(TEXT(A114,"dd/mm/aaaa")),0)),$M$3:$M$500)-SUMIF($A$3:$A$500,CONCATENATE("&gt;",TEXT(Dados!$C$16-1,0)),$M$3:$M$500)+1%))</f>
        <v>0</v>
      </c>
      <c r="O114" s="119">
        <v>0.005</v>
      </c>
      <c r="P114" s="120">
        <f t="shared" si="17"/>
        <v>0.931042</v>
      </c>
      <c r="Q114" s="119">
        <v>0.01</v>
      </c>
      <c r="R114" s="120">
        <f t="shared" si="18"/>
        <v>1.271042</v>
      </c>
      <c r="S114" s="119">
        <v>0.005</v>
      </c>
      <c r="T114" s="120">
        <f t="shared" si="19"/>
        <v>0.931042</v>
      </c>
      <c r="AG114" s="121">
        <f t="shared" si="23"/>
        <v>37895</v>
      </c>
      <c r="AH114" s="121">
        <f t="shared" si="24"/>
        <v>37895</v>
      </c>
      <c r="AI114" s="121">
        <f t="shared" si="25"/>
        <v>37895</v>
      </c>
      <c r="AJ114" s="121">
        <f t="shared" si="26"/>
        <v>37895</v>
      </c>
      <c r="AK114" s="121">
        <f t="shared" si="27"/>
        <v>37895</v>
      </c>
    </row>
    <row r="115" spans="1:37" ht="15">
      <c r="A115" s="113">
        <v>37926</v>
      </c>
      <c r="B115" s="113" t="e">
        <f t="shared" si="28"/>
        <v>#N/A</v>
      </c>
      <c r="C115" s="108" t="e">
        <f t="shared" si="16"/>
        <v>#N/A</v>
      </c>
      <c r="D115" s="114">
        <f t="shared" si="20"/>
        <v>0</v>
      </c>
      <c r="E115" s="114" t="e">
        <f t="shared" si="29"/>
        <v>#N/A</v>
      </c>
      <c r="F115" s="108" t="e">
        <f t="shared" si="21"/>
        <v>#N/A</v>
      </c>
      <c r="G115" s="114">
        <f t="shared" si="22"/>
        <v>0</v>
      </c>
      <c r="H115" s="110">
        <v>115</v>
      </c>
      <c r="I115" s="115">
        <v>0.0017</v>
      </c>
      <c r="J115" s="116">
        <v>0.0037</v>
      </c>
      <c r="K115" s="115">
        <v>0.001776</v>
      </c>
      <c r="L115" s="116">
        <v>0.0048</v>
      </c>
      <c r="M115" s="117">
        <v>0.0134</v>
      </c>
      <c r="N115" s="118">
        <f>IF(A115&gt;Dados!$C$16,0,IF(A115=Dados!$C$16,1,SUMIF($A$3:$A$500,CONCATENATE("&gt;",TEXT(DATEVALUE(TEXT(A115,"dd/mm/aaaa")),0)),$M$3:$M$500)-SUMIF($A$3:$A$500,CONCATENATE("&gt;",TEXT(Dados!$C$16-1,0)),$M$3:$M$500)+1%))</f>
        <v>0</v>
      </c>
      <c r="O115" s="119">
        <v>0.005</v>
      </c>
      <c r="P115" s="120">
        <f t="shared" si="17"/>
        <v>0.926042</v>
      </c>
      <c r="Q115" s="119">
        <v>0.01</v>
      </c>
      <c r="R115" s="120">
        <f t="shared" si="18"/>
        <v>1.261042</v>
      </c>
      <c r="S115" s="119">
        <v>0.005</v>
      </c>
      <c r="T115" s="120">
        <f t="shared" si="19"/>
        <v>0.926042</v>
      </c>
      <c r="AG115" s="121">
        <f t="shared" si="23"/>
        <v>37926</v>
      </c>
      <c r="AH115" s="121">
        <f t="shared" si="24"/>
        <v>37926</v>
      </c>
      <c r="AI115" s="121">
        <f t="shared" si="25"/>
        <v>37926</v>
      </c>
      <c r="AJ115" s="121">
        <f t="shared" si="26"/>
        <v>37926</v>
      </c>
      <c r="AK115" s="121">
        <f t="shared" si="27"/>
        <v>37926</v>
      </c>
    </row>
    <row r="116" spans="1:37" ht="15">
      <c r="A116" s="113">
        <v>37956</v>
      </c>
      <c r="B116" s="113" t="e">
        <f t="shared" si="28"/>
        <v>#N/A</v>
      </c>
      <c r="C116" s="108" t="e">
        <f t="shared" si="16"/>
        <v>#N/A</v>
      </c>
      <c r="D116" s="114">
        <f t="shared" si="20"/>
        <v>0</v>
      </c>
      <c r="E116" s="114" t="e">
        <f t="shared" si="29"/>
        <v>#N/A</v>
      </c>
      <c r="F116" s="108" t="e">
        <f t="shared" si="21"/>
        <v>#N/A</v>
      </c>
      <c r="G116" s="114">
        <f t="shared" si="22"/>
        <v>0</v>
      </c>
      <c r="H116" s="110">
        <v>116</v>
      </c>
      <c r="I116" s="115">
        <v>0.0046</v>
      </c>
      <c r="J116" s="116">
        <v>0.0054</v>
      </c>
      <c r="K116" s="115">
        <v>0.001899</v>
      </c>
      <c r="L116" s="116">
        <v>0.006</v>
      </c>
      <c r="M116" s="117">
        <v>0.0137</v>
      </c>
      <c r="N116" s="118">
        <f>IF(A116&gt;Dados!$C$16,0,IF(A116=Dados!$C$16,1,SUMIF($A$3:$A$500,CONCATENATE("&gt;",TEXT(DATEVALUE(TEXT(A116,"dd/mm/aaaa")),0)),$M$3:$M$500)-SUMIF($A$3:$A$500,CONCATENATE("&gt;",TEXT(Dados!$C$16-1,0)),$M$3:$M$500)+1%))</f>
        <v>0</v>
      </c>
      <c r="O116" s="119">
        <v>0.005</v>
      </c>
      <c r="P116" s="120">
        <f t="shared" si="17"/>
        <v>0.921042</v>
      </c>
      <c r="Q116" s="119">
        <v>0.01</v>
      </c>
      <c r="R116" s="120">
        <f t="shared" si="18"/>
        <v>1.251042</v>
      </c>
      <c r="S116" s="119">
        <v>0.005</v>
      </c>
      <c r="T116" s="120">
        <f t="shared" si="19"/>
        <v>0.921042</v>
      </c>
      <c r="AG116" s="121">
        <f t="shared" si="23"/>
        <v>37956</v>
      </c>
      <c r="AH116" s="121">
        <f t="shared" si="24"/>
        <v>37956</v>
      </c>
      <c r="AI116" s="121">
        <f t="shared" si="25"/>
        <v>37956</v>
      </c>
      <c r="AJ116" s="121">
        <f t="shared" si="26"/>
        <v>37956</v>
      </c>
      <c r="AK116" s="121">
        <f t="shared" si="27"/>
        <v>37956</v>
      </c>
    </row>
    <row r="117" spans="1:37" ht="15">
      <c r="A117" s="126">
        <v>37987</v>
      </c>
      <c r="B117" s="126" t="e">
        <f>Dados!P23</f>
        <v>#N/A</v>
      </c>
      <c r="C117" s="108" t="e">
        <f t="shared" si="16"/>
        <v>#N/A</v>
      </c>
      <c r="D117" s="114">
        <f t="shared" si="20"/>
        <v>0</v>
      </c>
      <c r="E117" s="126" t="e">
        <f>Dados!P63</f>
        <v>#N/A</v>
      </c>
      <c r="F117" s="108" t="e">
        <f t="shared" si="21"/>
        <v>#N/A</v>
      </c>
      <c r="G117" s="114">
        <f t="shared" si="22"/>
        <v>0</v>
      </c>
      <c r="H117" s="110">
        <v>117</v>
      </c>
      <c r="I117" s="115">
        <v>0.0068</v>
      </c>
      <c r="J117" s="116">
        <v>0.0083</v>
      </c>
      <c r="K117" s="115">
        <v>0.00128</v>
      </c>
      <c r="L117" s="116">
        <v>0.008</v>
      </c>
      <c r="M117" s="117">
        <v>0.0127</v>
      </c>
      <c r="N117" s="118">
        <f>IF(A117&gt;Dados!$C$16,0,IF(A117=Dados!$C$16,1,SUMIF($A$3:$A$500,CONCATENATE("&gt;",TEXT(DATEVALUE(TEXT(A117,"dd/mm/aaaa")),0)),$M$3:$M$500)-SUMIF($A$3:$A$500,CONCATENATE("&gt;",TEXT(Dados!$C$16-1,0)),$M$3:$M$500)+1%))</f>
        <v>0</v>
      </c>
      <c r="O117" s="119">
        <v>0.005</v>
      </c>
      <c r="P117" s="120">
        <f t="shared" si="17"/>
        <v>0.916042</v>
      </c>
      <c r="Q117" s="119">
        <v>0.01</v>
      </c>
      <c r="R117" s="120">
        <f t="shared" si="18"/>
        <v>1.241042</v>
      </c>
      <c r="S117" s="119">
        <v>0.005</v>
      </c>
      <c r="T117" s="120">
        <f t="shared" si="19"/>
        <v>0.916042</v>
      </c>
      <c r="AG117" s="121">
        <f t="shared" si="23"/>
        <v>37987</v>
      </c>
      <c r="AH117" s="121">
        <f t="shared" si="24"/>
        <v>37987</v>
      </c>
      <c r="AI117" s="121">
        <f t="shared" si="25"/>
        <v>37987</v>
      </c>
      <c r="AJ117" s="121">
        <f t="shared" si="26"/>
        <v>37987</v>
      </c>
      <c r="AK117" s="121">
        <f t="shared" si="27"/>
        <v>37987</v>
      </c>
    </row>
    <row r="118" spans="1:37" ht="15">
      <c r="A118" s="113">
        <v>38018</v>
      </c>
      <c r="B118" s="113" t="e">
        <f>B117</f>
        <v>#N/A</v>
      </c>
      <c r="C118" s="108" t="e">
        <f t="shared" si="16"/>
        <v>#N/A</v>
      </c>
      <c r="D118" s="114">
        <f t="shared" si="20"/>
        <v>0</v>
      </c>
      <c r="E118" s="114" t="e">
        <f>E117</f>
        <v>#N/A</v>
      </c>
      <c r="F118" s="108" t="e">
        <f t="shared" si="21"/>
        <v>#N/A</v>
      </c>
      <c r="G118" s="114">
        <f t="shared" si="22"/>
        <v>0</v>
      </c>
      <c r="H118" s="110">
        <v>118</v>
      </c>
      <c r="I118" s="115">
        <v>0.009</v>
      </c>
      <c r="J118" s="116">
        <v>0.0039</v>
      </c>
      <c r="K118" s="115">
        <v>0.000458</v>
      </c>
      <c r="L118" s="116">
        <v>0.0108</v>
      </c>
      <c r="M118" s="117">
        <v>0.0108</v>
      </c>
      <c r="N118" s="118">
        <f>IF(A118&gt;Dados!$C$16,0,IF(A118=Dados!$C$16,1,SUMIF($A$3:$A$500,CONCATENATE("&gt;",TEXT(DATEVALUE(TEXT(A118,"dd/mm/aaaa")),0)),$M$3:$M$500)-SUMIF($A$3:$A$500,CONCATENATE("&gt;",TEXT(Dados!$C$16-1,0)),$M$3:$M$500)+1%))</f>
        <v>0</v>
      </c>
      <c r="O118" s="119">
        <v>0.005</v>
      </c>
      <c r="P118" s="120">
        <f t="shared" si="17"/>
        <v>0.911042</v>
      </c>
      <c r="Q118" s="119">
        <v>0.01</v>
      </c>
      <c r="R118" s="120">
        <f t="shared" si="18"/>
        <v>1.231042</v>
      </c>
      <c r="S118" s="119">
        <v>0.005</v>
      </c>
      <c r="T118" s="120">
        <f t="shared" si="19"/>
        <v>0.911042</v>
      </c>
      <c r="AG118" s="121">
        <f t="shared" si="23"/>
        <v>38018</v>
      </c>
      <c r="AH118" s="121">
        <f t="shared" si="24"/>
        <v>38018</v>
      </c>
      <c r="AI118" s="121">
        <f t="shared" si="25"/>
        <v>38018</v>
      </c>
      <c r="AJ118" s="121">
        <f t="shared" si="26"/>
        <v>38018</v>
      </c>
      <c r="AK118" s="121">
        <f t="shared" si="27"/>
        <v>38018</v>
      </c>
    </row>
    <row r="119" spans="1:37" ht="15">
      <c r="A119" s="113">
        <v>38047</v>
      </c>
      <c r="B119" s="113" t="e">
        <f aca="true" t="shared" si="30" ref="B119:B143">B118</f>
        <v>#N/A</v>
      </c>
      <c r="C119" s="108" t="e">
        <f t="shared" si="16"/>
        <v>#N/A</v>
      </c>
      <c r="D119" s="114">
        <f t="shared" si="20"/>
        <v>0</v>
      </c>
      <c r="E119" s="114" t="e">
        <f aca="true" t="shared" si="31" ref="E119:E143">E118</f>
        <v>#N/A</v>
      </c>
      <c r="F119" s="108" t="e">
        <f t="shared" si="21"/>
        <v>#N/A</v>
      </c>
      <c r="G119" s="114">
        <f t="shared" si="22"/>
        <v>0</v>
      </c>
      <c r="H119" s="110">
        <v>119</v>
      </c>
      <c r="I119" s="115">
        <v>0.004</v>
      </c>
      <c r="J119" s="116">
        <v>0.0057</v>
      </c>
      <c r="K119" s="115">
        <v>0.001778</v>
      </c>
      <c r="L119" s="116">
        <v>0.0093</v>
      </c>
      <c r="M119" s="117">
        <v>0.0138</v>
      </c>
      <c r="N119" s="118">
        <f>IF(A119&gt;Dados!$C$16,0,IF(A119=Dados!$C$16,1,SUMIF($A$3:$A$500,CONCATENATE("&gt;",TEXT(DATEVALUE(TEXT(A119,"dd/mm/aaaa")),0)),$M$3:$M$500)-SUMIF($A$3:$A$500,CONCATENATE("&gt;",TEXT(Dados!$C$16-1,0)),$M$3:$M$500)+1%))</f>
        <v>0</v>
      </c>
      <c r="O119" s="119">
        <v>0.005</v>
      </c>
      <c r="P119" s="120">
        <f t="shared" si="17"/>
        <v>0.906042</v>
      </c>
      <c r="Q119" s="119">
        <v>0.01</v>
      </c>
      <c r="R119" s="120">
        <f t="shared" si="18"/>
        <v>1.221042</v>
      </c>
      <c r="S119" s="119">
        <v>0.005</v>
      </c>
      <c r="T119" s="120">
        <f t="shared" si="19"/>
        <v>0.906042</v>
      </c>
      <c r="AG119" s="121">
        <f t="shared" si="23"/>
        <v>38047</v>
      </c>
      <c r="AH119" s="121">
        <f t="shared" si="24"/>
        <v>38047</v>
      </c>
      <c r="AI119" s="121">
        <f t="shared" si="25"/>
        <v>38047</v>
      </c>
      <c r="AJ119" s="121">
        <f t="shared" si="26"/>
        <v>38047</v>
      </c>
      <c r="AK119" s="121">
        <f t="shared" si="27"/>
        <v>38047</v>
      </c>
    </row>
    <row r="120" spans="1:37" ht="15">
      <c r="A120" s="113">
        <v>38078</v>
      </c>
      <c r="B120" s="113" t="e">
        <f t="shared" si="30"/>
        <v>#N/A</v>
      </c>
      <c r="C120" s="108" t="e">
        <f t="shared" si="16"/>
        <v>#N/A</v>
      </c>
      <c r="D120" s="114">
        <f t="shared" si="20"/>
        <v>0</v>
      </c>
      <c r="E120" s="114" t="e">
        <f t="shared" si="31"/>
        <v>#N/A</v>
      </c>
      <c r="F120" s="108" t="e">
        <f t="shared" si="21"/>
        <v>#N/A</v>
      </c>
      <c r="G120" s="114">
        <f t="shared" si="22"/>
        <v>0</v>
      </c>
      <c r="H120" s="110">
        <v>120</v>
      </c>
      <c r="I120" s="115">
        <v>0.0021</v>
      </c>
      <c r="J120" s="116">
        <v>0.0041</v>
      </c>
      <c r="K120" s="115">
        <v>0.000874</v>
      </c>
      <c r="L120" s="116">
        <v>0.0115</v>
      </c>
      <c r="M120" s="117">
        <v>0.0118</v>
      </c>
      <c r="N120" s="118">
        <f>IF(A120&gt;Dados!$C$16,0,IF(A120=Dados!$C$16,1,SUMIF($A$3:$A$500,CONCATENATE("&gt;",TEXT(DATEVALUE(TEXT(A120,"dd/mm/aaaa")),0)),$M$3:$M$500)-SUMIF($A$3:$A$500,CONCATENATE("&gt;",TEXT(Dados!$C$16-1,0)),$M$3:$M$500)+1%))</f>
        <v>0</v>
      </c>
      <c r="O120" s="119">
        <v>0.005</v>
      </c>
      <c r="P120" s="120">
        <f t="shared" si="17"/>
        <v>0.901042</v>
      </c>
      <c r="Q120" s="119">
        <v>0.01</v>
      </c>
      <c r="R120" s="120">
        <f t="shared" si="18"/>
        <v>1.211042</v>
      </c>
      <c r="S120" s="119">
        <v>0.005</v>
      </c>
      <c r="T120" s="120">
        <f t="shared" si="19"/>
        <v>0.901042</v>
      </c>
      <c r="AG120" s="121">
        <f t="shared" si="23"/>
        <v>38078</v>
      </c>
      <c r="AH120" s="121">
        <f t="shared" si="24"/>
        <v>38078</v>
      </c>
      <c r="AI120" s="121">
        <f t="shared" si="25"/>
        <v>38078</v>
      </c>
      <c r="AJ120" s="121">
        <f t="shared" si="26"/>
        <v>38078</v>
      </c>
      <c r="AK120" s="121">
        <f t="shared" si="27"/>
        <v>38078</v>
      </c>
    </row>
    <row r="121" spans="1:37" ht="15">
      <c r="A121" s="127">
        <v>38108</v>
      </c>
      <c r="B121" s="113" t="e">
        <f t="shared" si="30"/>
        <v>#N/A</v>
      </c>
      <c r="C121" s="108" t="e">
        <f t="shared" si="16"/>
        <v>#N/A</v>
      </c>
      <c r="D121" s="114">
        <f t="shared" si="20"/>
        <v>0</v>
      </c>
      <c r="E121" s="114" t="e">
        <f t="shared" si="31"/>
        <v>#N/A</v>
      </c>
      <c r="F121" s="108" t="e">
        <f t="shared" si="21"/>
        <v>#N/A</v>
      </c>
      <c r="G121" s="114">
        <f t="shared" si="22"/>
        <v>0</v>
      </c>
      <c r="H121" s="110">
        <v>121</v>
      </c>
      <c r="I121" s="115">
        <v>0.0054</v>
      </c>
      <c r="J121" s="116">
        <v>0.004</v>
      </c>
      <c r="K121" s="115">
        <v>0.001546</v>
      </c>
      <c r="L121" s="116">
        <v>0.0146</v>
      </c>
      <c r="M121" s="117">
        <v>0.0123</v>
      </c>
      <c r="N121" s="118">
        <f>IF(A121&gt;Dados!$C$16,0,IF(A121=Dados!$C$16,1,SUMIF($A$3:$A$500,CONCATENATE("&gt;",TEXT(DATEVALUE(TEXT(A121,"dd/mm/aaaa")),0)),$M$3:$M$500)-SUMIF($A$3:$A$500,CONCATENATE("&gt;",TEXT(Dados!$C$16-1,0)),$M$3:$M$500)+1%))</f>
        <v>0</v>
      </c>
      <c r="O121" s="119">
        <v>0.005</v>
      </c>
      <c r="P121" s="120">
        <f t="shared" si="17"/>
        <v>0.896042</v>
      </c>
      <c r="Q121" s="119">
        <v>0.01</v>
      </c>
      <c r="R121" s="120">
        <f t="shared" si="18"/>
        <v>1.201042</v>
      </c>
      <c r="S121" s="119">
        <v>0.005</v>
      </c>
      <c r="T121" s="120">
        <f t="shared" si="19"/>
        <v>0.896042</v>
      </c>
      <c r="AG121" s="121">
        <f t="shared" si="23"/>
        <v>38108</v>
      </c>
      <c r="AH121" s="121">
        <f t="shared" si="24"/>
        <v>38108</v>
      </c>
      <c r="AI121" s="121">
        <f t="shared" si="25"/>
        <v>38108</v>
      </c>
      <c r="AJ121" s="121">
        <f t="shared" si="26"/>
        <v>38108</v>
      </c>
      <c r="AK121" s="121">
        <f t="shared" si="27"/>
        <v>38108</v>
      </c>
    </row>
    <row r="122" spans="1:37" ht="15">
      <c r="A122" s="113">
        <v>38139</v>
      </c>
      <c r="B122" s="113" t="e">
        <f t="shared" si="30"/>
        <v>#N/A</v>
      </c>
      <c r="C122" s="108" t="e">
        <f t="shared" si="16"/>
        <v>#N/A</v>
      </c>
      <c r="D122" s="114">
        <f t="shared" si="20"/>
        <v>0</v>
      </c>
      <c r="E122" s="114" t="e">
        <f t="shared" si="31"/>
        <v>#N/A</v>
      </c>
      <c r="F122" s="108" t="e">
        <f t="shared" si="21"/>
        <v>#N/A</v>
      </c>
      <c r="G122" s="114">
        <f t="shared" si="22"/>
        <v>0</v>
      </c>
      <c r="H122" s="110">
        <v>122</v>
      </c>
      <c r="I122" s="115">
        <v>0.0056</v>
      </c>
      <c r="J122" s="116">
        <v>0.005</v>
      </c>
      <c r="K122" s="115">
        <v>0.001761</v>
      </c>
      <c r="L122" s="116">
        <v>0.0129</v>
      </c>
      <c r="M122" s="117">
        <v>0.0123</v>
      </c>
      <c r="N122" s="118">
        <f>IF(A122&gt;Dados!$C$16,0,IF(A122=Dados!$C$16,1,SUMIF($A$3:$A$500,CONCATENATE("&gt;",TEXT(DATEVALUE(TEXT(A122,"dd/mm/aaaa")),0)),$M$3:$M$500)-SUMIF($A$3:$A$500,CONCATENATE("&gt;",TEXT(Dados!$C$16-1,0)),$M$3:$M$500)+1%))</f>
        <v>0</v>
      </c>
      <c r="O122" s="119">
        <v>0.005</v>
      </c>
      <c r="P122" s="120">
        <f t="shared" si="17"/>
        <v>0.891042</v>
      </c>
      <c r="Q122" s="119">
        <v>0.01</v>
      </c>
      <c r="R122" s="120">
        <f t="shared" si="18"/>
        <v>1.191042</v>
      </c>
      <c r="S122" s="119">
        <v>0.005</v>
      </c>
      <c r="T122" s="120">
        <f t="shared" si="19"/>
        <v>0.891042</v>
      </c>
      <c r="AG122" s="121">
        <f t="shared" si="23"/>
        <v>38139</v>
      </c>
      <c r="AH122" s="121">
        <f t="shared" si="24"/>
        <v>38139</v>
      </c>
      <c r="AI122" s="121">
        <f t="shared" si="25"/>
        <v>38139</v>
      </c>
      <c r="AJ122" s="121">
        <f t="shared" si="26"/>
        <v>38139</v>
      </c>
      <c r="AK122" s="121">
        <f t="shared" si="27"/>
        <v>38139</v>
      </c>
    </row>
    <row r="123" spans="1:37" ht="15">
      <c r="A123" s="113">
        <v>38169</v>
      </c>
      <c r="B123" s="113" t="e">
        <f t="shared" si="30"/>
        <v>#N/A</v>
      </c>
      <c r="C123" s="108" t="e">
        <f t="shared" si="16"/>
        <v>#N/A</v>
      </c>
      <c r="D123" s="114">
        <f t="shared" si="20"/>
        <v>0</v>
      </c>
      <c r="E123" s="114" t="e">
        <f t="shared" si="31"/>
        <v>#N/A</v>
      </c>
      <c r="F123" s="108" t="e">
        <f t="shared" si="21"/>
        <v>#N/A</v>
      </c>
      <c r="G123" s="114">
        <f t="shared" si="22"/>
        <v>0</v>
      </c>
      <c r="H123" s="110">
        <v>123</v>
      </c>
      <c r="I123" s="115">
        <v>0.0093</v>
      </c>
      <c r="J123" s="116">
        <v>0.0073</v>
      </c>
      <c r="K123" s="115">
        <v>0.001952</v>
      </c>
      <c r="L123" s="116">
        <v>0.0114</v>
      </c>
      <c r="M123" s="117">
        <v>0.0129</v>
      </c>
      <c r="N123" s="118">
        <f>IF(A123&gt;Dados!$C$16,0,IF(A123=Dados!$C$16,1,SUMIF($A$3:$A$500,CONCATENATE("&gt;",TEXT(DATEVALUE(TEXT(A123,"dd/mm/aaaa")),0)),$M$3:$M$500)-SUMIF($A$3:$A$500,CONCATENATE("&gt;",TEXT(Dados!$C$16-1,0)),$M$3:$M$500)+1%))</f>
        <v>0</v>
      </c>
      <c r="O123" s="119">
        <v>0.005</v>
      </c>
      <c r="P123" s="120">
        <f t="shared" si="17"/>
        <v>0.886042</v>
      </c>
      <c r="Q123" s="119">
        <v>0.01</v>
      </c>
      <c r="R123" s="120">
        <f t="shared" si="18"/>
        <v>1.181042</v>
      </c>
      <c r="S123" s="119">
        <v>0.005</v>
      </c>
      <c r="T123" s="120">
        <f t="shared" si="19"/>
        <v>0.886042</v>
      </c>
      <c r="AG123" s="121">
        <f t="shared" si="23"/>
        <v>38169</v>
      </c>
      <c r="AH123" s="121">
        <f t="shared" si="24"/>
        <v>38169</v>
      </c>
      <c r="AI123" s="121">
        <f t="shared" si="25"/>
        <v>38169</v>
      </c>
      <c r="AJ123" s="121">
        <f t="shared" si="26"/>
        <v>38169</v>
      </c>
      <c r="AK123" s="121">
        <f t="shared" si="27"/>
        <v>38169</v>
      </c>
    </row>
    <row r="124" spans="1:37" ht="15">
      <c r="A124" s="113">
        <v>38200</v>
      </c>
      <c r="B124" s="113" t="e">
        <f t="shared" si="30"/>
        <v>#N/A</v>
      </c>
      <c r="C124" s="108" t="e">
        <f t="shared" si="16"/>
        <v>#N/A</v>
      </c>
      <c r="D124" s="114">
        <f t="shared" si="20"/>
        <v>0</v>
      </c>
      <c r="E124" s="114" t="e">
        <f t="shared" si="31"/>
        <v>#N/A</v>
      </c>
      <c r="F124" s="108" t="e">
        <f t="shared" si="21"/>
        <v>#N/A</v>
      </c>
      <c r="G124" s="114">
        <f t="shared" si="22"/>
        <v>0</v>
      </c>
      <c r="H124" s="110">
        <v>124</v>
      </c>
      <c r="I124" s="115">
        <v>0.0079</v>
      </c>
      <c r="J124" s="116">
        <v>0.005</v>
      </c>
      <c r="K124" s="115">
        <v>0.002005</v>
      </c>
      <c r="L124" s="116">
        <v>0.0131</v>
      </c>
      <c r="M124" s="117">
        <v>0.0129</v>
      </c>
      <c r="N124" s="118">
        <f>IF(A124&gt;Dados!$C$16,0,IF(A124=Dados!$C$16,1,SUMIF($A$3:$A$500,CONCATENATE("&gt;",TEXT(DATEVALUE(TEXT(A124,"dd/mm/aaaa")),0)),$M$3:$M$500)-SUMIF($A$3:$A$500,CONCATENATE("&gt;",TEXT(Dados!$C$16-1,0)),$M$3:$M$500)+1%))</f>
        <v>0</v>
      </c>
      <c r="O124" s="119">
        <v>0.005</v>
      </c>
      <c r="P124" s="120">
        <f t="shared" si="17"/>
        <v>0.881042</v>
      </c>
      <c r="Q124" s="119">
        <v>0.01</v>
      </c>
      <c r="R124" s="120">
        <f t="shared" si="18"/>
        <v>1.171042</v>
      </c>
      <c r="S124" s="119">
        <v>0.005</v>
      </c>
      <c r="T124" s="120">
        <f t="shared" si="19"/>
        <v>0.881042</v>
      </c>
      <c r="AG124" s="121">
        <f t="shared" si="23"/>
        <v>38200</v>
      </c>
      <c r="AH124" s="121">
        <f t="shared" si="24"/>
        <v>38200</v>
      </c>
      <c r="AI124" s="121">
        <f t="shared" si="25"/>
        <v>38200</v>
      </c>
      <c r="AJ124" s="121">
        <f t="shared" si="26"/>
        <v>38200</v>
      </c>
      <c r="AK124" s="121">
        <f t="shared" si="27"/>
        <v>38200</v>
      </c>
    </row>
    <row r="125" spans="1:37" ht="15">
      <c r="A125" s="113">
        <v>38231</v>
      </c>
      <c r="B125" s="113" t="e">
        <f t="shared" si="30"/>
        <v>#N/A</v>
      </c>
      <c r="C125" s="108" t="e">
        <f t="shared" si="16"/>
        <v>#N/A</v>
      </c>
      <c r="D125" s="114">
        <f t="shared" si="20"/>
        <v>0</v>
      </c>
      <c r="E125" s="114" t="e">
        <f t="shared" si="31"/>
        <v>#N/A</v>
      </c>
      <c r="F125" s="108" t="e">
        <f t="shared" si="21"/>
        <v>#N/A</v>
      </c>
      <c r="G125" s="114">
        <f t="shared" si="22"/>
        <v>0</v>
      </c>
      <c r="H125" s="110">
        <v>125</v>
      </c>
      <c r="I125" s="115">
        <v>0.0049</v>
      </c>
      <c r="J125" s="116">
        <v>0.0017</v>
      </c>
      <c r="K125" s="115">
        <v>0.001728</v>
      </c>
      <c r="L125" s="116">
        <v>0.0048</v>
      </c>
      <c r="M125" s="117">
        <v>0.0125</v>
      </c>
      <c r="N125" s="118">
        <f>IF(A125&gt;Dados!$C$16,0,IF(A125=Dados!$C$16,1,SUMIF($A$3:$A$500,CONCATENATE("&gt;",TEXT(DATEVALUE(TEXT(A125,"dd/mm/aaaa")),0)),$M$3:$M$500)-SUMIF($A$3:$A$500,CONCATENATE("&gt;",TEXT(Dados!$C$16-1,0)),$M$3:$M$500)+1%))</f>
        <v>0</v>
      </c>
      <c r="O125" s="119">
        <v>0.005</v>
      </c>
      <c r="P125" s="120">
        <f t="shared" si="17"/>
        <v>0.876042</v>
      </c>
      <c r="Q125" s="119">
        <v>0.01</v>
      </c>
      <c r="R125" s="120">
        <f t="shared" si="18"/>
        <v>1.161042</v>
      </c>
      <c r="S125" s="119">
        <v>0.005</v>
      </c>
      <c r="T125" s="120">
        <f t="shared" si="19"/>
        <v>0.876042</v>
      </c>
      <c r="AG125" s="121">
        <f t="shared" si="23"/>
        <v>38231</v>
      </c>
      <c r="AH125" s="121">
        <f t="shared" si="24"/>
        <v>38231</v>
      </c>
      <c r="AI125" s="121">
        <f t="shared" si="25"/>
        <v>38231</v>
      </c>
      <c r="AJ125" s="121">
        <f t="shared" si="26"/>
        <v>38231</v>
      </c>
      <c r="AK125" s="121">
        <f t="shared" si="27"/>
        <v>38231</v>
      </c>
    </row>
    <row r="126" spans="1:37" ht="15">
      <c r="A126" s="113">
        <v>38261</v>
      </c>
      <c r="B126" s="113" t="e">
        <f t="shared" si="30"/>
        <v>#N/A</v>
      </c>
      <c r="C126" s="108" t="e">
        <f t="shared" si="16"/>
        <v>#N/A</v>
      </c>
      <c r="D126" s="114">
        <f t="shared" si="20"/>
        <v>0</v>
      </c>
      <c r="E126" s="114" t="e">
        <f t="shared" si="31"/>
        <v>#N/A</v>
      </c>
      <c r="F126" s="108" t="e">
        <f t="shared" si="21"/>
        <v>#N/A</v>
      </c>
      <c r="G126" s="114">
        <f t="shared" si="22"/>
        <v>0</v>
      </c>
      <c r="H126" s="110">
        <v>126</v>
      </c>
      <c r="I126" s="115">
        <v>0.0032</v>
      </c>
      <c r="J126" s="116">
        <v>0.0017</v>
      </c>
      <c r="K126" s="115">
        <v>0.001108</v>
      </c>
      <c r="L126" s="116">
        <v>0.0053</v>
      </c>
      <c r="M126" s="117">
        <v>0.0121</v>
      </c>
      <c r="N126" s="118">
        <f>IF(A126&gt;Dados!$C$16,0,IF(A126=Dados!$C$16,1,SUMIF($A$3:$A$500,CONCATENATE("&gt;",TEXT(DATEVALUE(TEXT(A126,"dd/mm/aaaa")),0)),$M$3:$M$500)-SUMIF($A$3:$A$500,CONCATENATE("&gt;",TEXT(Dados!$C$16-1,0)),$M$3:$M$500)+1%))</f>
        <v>0</v>
      </c>
      <c r="O126" s="119">
        <v>0.005</v>
      </c>
      <c r="P126" s="120">
        <f t="shared" si="17"/>
        <v>0.871042</v>
      </c>
      <c r="Q126" s="119">
        <v>0.01</v>
      </c>
      <c r="R126" s="120">
        <f t="shared" si="18"/>
        <v>1.151042</v>
      </c>
      <c r="S126" s="119">
        <v>0.005</v>
      </c>
      <c r="T126" s="120">
        <f t="shared" si="19"/>
        <v>0.871042</v>
      </c>
      <c r="AG126" s="121">
        <f t="shared" si="23"/>
        <v>38261</v>
      </c>
      <c r="AH126" s="121">
        <f t="shared" si="24"/>
        <v>38261</v>
      </c>
      <c r="AI126" s="121">
        <f t="shared" si="25"/>
        <v>38261</v>
      </c>
      <c r="AJ126" s="121">
        <f t="shared" si="26"/>
        <v>38261</v>
      </c>
      <c r="AK126" s="121">
        <f t="shared" si="27"/>
        <v>38261</v>
      </c>
    </row>
    <row r="127" spans="1:37" ht="15">
      <c r="A127" s="113">
        <v>38292</v>
      </c>
      <c r="B127" s="113" t="e">
        <f t="shared" si="30"/>
        <v>#N/A</v>
      </c>
      <c r="C127" s="108" t="e">
        <f t="shared" si="16"/>
        <v>#N/A</v>
      </c>
      <c r="D127" s="114">
        <f t="shared" si="20"/>
        <v>0</v>
      </c>
      <c r="E127" s="114" t="e">
        <f t="shared" si="31"/>
        <v>#N/A</v>
      </c>
      <c r="F127" s="108" t="e">
        <f t="shared" si="21"/>
        <v>#N/A</v>
      </c>
      <c r="G127" s="114">
        <f t="shared" si="22"/>
        <v>0</v>
      </c>
      <c r="H127" s="110">
        <v>127</v>
      </c>
      <c r="I127" s="115">
        <v>0.0063</v>
      </c>
      <c r="J127" s="116">
        <v>0.0044</v>
      </c>
      <c r="K127" s="115">
        <v>0.001146</v>
      </c>
      <c r="L127" s="116">
        <v>0.0082</v>
      </c>
      <c r="M127" s="117">
        <v>0.0125</v>
      </c>
      <c r="N127" s="118">
        <f>IF(A127&gt;Dados!$C$16,0,IF(A127=Dados!$C$16,1,SUMIF($A$3:$A$500,CONCATENATE("&gt;",TEXT(DATEVALUE(TEXT(A127,"dd/mm/aaaa")),0)),$M$3:$M$500)-SUMIF($A$3:$A$500,CONCATENATE("&gt;",TEXT(Dados!$C$16-1,0)),$M$3:$M$500)+1%))</f>
        <v>0</v>
      </c>
      <c r="O127" s="119">
        <v>0.005</v>
      </c>
      <c r="P127" s="120">
        <f t="shared" si="17"/>
        <v>0.866042</v>
      </c>
      <c r="Q127" s="119">
        <v>0.01</v>
      </c>
      <c r="R127" s="120">
        <f t="shared" si="18"/>
        <v>1.141042</v>
      </c>
      <c r="S127" s="119">
        <v>0.005</v>
      </c>
      <c r="T127" s="120">
        <f t="shared" si="19"/>
        <v>0.866042</v>
      </c>
      <c r="AG127" s="121">
        <f t="shared" si="23"/>
        <v>38292</v>
      </c>
      <c r="AH127" s="121">
        <f t="shared" si="24"/>
        <v>38292</v>
      </c>
      <c r="AI127" s="121">
        <f t="shared" si="25"/>
        <v>38292</v>
      </c>
      <c r="AJ127" s="121">
        <f t="shared" si="26"/>
        <v>38292</v>
      </c>
      <c r="AK127" s="121">
        <f t="shared" si="27"/>
        <v>38292</v>
      </c>
    </row>
    <row r="128" spans="1:37" ht="15">
      <c r="A128" s="113">
        <v>38322</v>
      </c>
      <c r="B128" s="113" t="e">
        <f t="shared" si="30"/>
        <v>#N/A</v>
      </c>
      <c r="C128" s="108" t="e">
        <f t="shared" si="16"/>
        <v>#N/A</v>
      </c>
      <c r="D128" s="114">
        <f t="shared" si="20"/>
        <v>0</v>
      </c>
      <c r="E128" s="114" t="e">
        <f t="shared" si="31"/>
        <v>#N/A</v>
      </c>
      <c r="F128" s="108" t="e">
        <f t="shared" si="21"/>
        <v>#N/A</v>
      </c>
      <c r="G128" s="114">
        <f t="shared" si="22"/>
        <v>0</v>
      </c>
      <c r="H128" s="110">
        <v>128</v>
      </c>
      <c r="I128" s="115">
        <v>0.0084</v>
      </c>
      <c r="J128" s="116">
        <v>0.0086</v>
      </c>
      <c r="K128" s="115">
        <v>0.0024</v>
      </c>
      <c r="L128" s="116">
        <v>0.0052</v>
      </c>
      <c r="M128" s="117">
        <v>0.0148</v>
      </c>
      <c r="N128" s="118">
        <f>IF(A128&gt;Dados!$C$16,0,IF(A128=Dados!$C$16,1,SUMIF($A$3:$A$500,CONCATENATE("&gt;",TEXT(DATEVALUE(TEXT(A128,"dd/mm/aaaa")),0)),$M$3:$M$500)-SUMIF($A$3:$A$500,CONCATENATE("&gt;",TEXT(Dados!$C$16-1,0)),$M$3:$M$500)+1%))</f>
        <v>0</v>
      </c>
      <c r="O128" s="119">
        <v>0.005</v>
      </c>
      <c r="P128" s="120">
        <f t="shared" si="17"/>
        <v>0.861042</v>
      </c>
      <c r="Q128" s="119">
        <v>0.01</v>
      </c>
      <c r="R128" s="120">
        <f t="shared" si="18"/>
        <v>1.131042</v>
      </c>
      <c r="S128" s="119">
        <v>0.005</v>
      </c>
      <c r="T128" s="120">
        <f t="shared" si="19"/>
        <v>0.861042</v>
      </c>
      <c r="AG128" s="121">
        <f t="shared" si="23"/>
        <v>38322</v>
      </c>
      <c r="AH128" s="121">
        <f t="shared" si="24"/>
        <v>38322</v>
      </c>
      <c r="AI128" s="121">
        <f t="shared" si="25"/>
        <v>38322</v>
      </c>
      <c r="AJ128" s="121">
        <f t="shared" si="26"/>
        <v>38322</v>
      </c>
      <c r="AK128" s="121">
        <f t="shared" si="27"/>
        <v>38322</v>
      </c>
    </row>
    <row r="129" spans="1:37" ht="15">
      <c r="A129" s="113">
        <v>38353</v>
      </c>
      <c r="B129" s="113" t="e">
        <f t="shared" si="30"/>
        <v>#N/A</v>
      </c>
      <c r="C129" s="108" t="e">
        <f t="shared" si="16"/>
        <v>#N/A</v>
      </c>
      <c r="D129" s="114">
        <f t="shared" si="20"/>
        <v>0</v>
      </c>
      <c r="E129" s="114" t="e">
        <f t="shared" si="31"/>
        <v>#N/A</v>
      </c>
      <c r="F129" s="108" t="e">
        <f t="shared" si="21"/>
        <v>#N/A</v>
      </c>
      <c r="G129" s="114">
        <f t="shared" si="22"/>
        <v>0</v>
      </c>
      <c r="H129" s="110">
        <v>129</v>
      </c>
      <c r="I129" s="115">
        <v>0.0068</v>
      </c>
      <c r="J129" s="116">
        <v>0.0057</v>
      </c>
      <c r="K129" s="115">
        <v>0.00188</v>
      </c>
      <c r="L129" s="116">
        <v>0.0033</v>
      </c>
      <c r="M129" s="117">
        <v>0.0138</v>
      </c>
      <c r="N129" s="118">
        <f>IF(A129&gt;Dados!$C$16,0,IF(A129=Dados!$C$16,1,SUMIF($A$3:$A$500,CONCATENATE("&gt;",TEXT(DATEVALUE(TEXT(A129,"dd/mm/aaaa")),0)),$M$3:$M$500)-SUMIF($A$3:$A$500,CONCATENATE("&gt;",TEXT(Dados!$C$16-1,0)),$M$3:$M$500)+1%))</f>
        <v>0</v>
      </c>
      <c r="O129" s="119">
        <v>0.005</v>
      </c>
      <c r="P129" s="120">
        <f t="shared" si="17"/>
        <v>0.856042</v>
      </c>
      <c r="Q129" s="119">
        <v>0.01</v>
      </c>
      <c r="R129" s="120">
        <f t="shared" si="18"/>
        <v>1.121042</v>
      </c>
      <c r="S129" s="119">
        <v>0.005</v>
      </c>
      <c r="T129" s="120">
        <f t="shared" si="19"/>
        <v>0.856042</v>
      </c>
      <c r="AG129" s="121">
        <f t="shared" si="23"/>
        <v>38353</v>
      </c>
      <c r="AH129" s="121">
        <f t="shared" si="24"/>
        <v>38353</v>
      </c>
      <c r="AI129" s="121">
        <f t="shared" si="25"/>
        <v>38353</v>
      </c>
      <c r="AJ129" s="121">
        <f t="shared" si="26"/>
        <v>38353</v>
      </c>
      <c r="AK129" s="121">
        <f t="shared" si="27"/>
        <v>38353</v>
      </c>
    </row>
    <row r="130" spans="1:37" ht="15">
      <c r="A130" s="113">
        <v>38384</v>
      </c>
      <c r="B130" s="113" t="e">
        <f t="shared" si="30"/>
        <v>#N/A</v>
      </c>
      <c r="C130" s="108" t="e">
        <f t="shared" si="16"/>
        <v>#N/A</v>
      </c>
      <c r="D130" s="114">
        <f t="shared" si="20"/>
        <v>0</v>
      </c>
      <c r="E130" s="114" t="e">
        <f t="shared" si="31"/>
        <v>#N/A</v>
      </c>
      <c r="F130" s="108" t="e">
        <f t="shared" si="21"/>
        <v>#N/A</v>
      </c>
      <c r="G130" s="114">
        <f t="shared" si="22"/>
        <v>0</v>
      </c>
      <c r="H130" s="110">
        <v>130</v>
      </c>
      <c r="I130" s="115">
        <v>0.0074</v>
      </c>
      <c r="J130" s="116">
        <v>0.0044</v>
      </c>
      <c r="K130" s="115">
        <v>0.000962</v>
      </c>
      <c r="L130" s="116">
        <v>0.004</v>
      </c>
      <c r="M130" s="117">
        <v>0.0122</v>
      </c>
      <c r="N130" s="118">
        <f>IF(A130&gt;Dados!$C$16,0,IF(A130=Dados!$C$16,1,SUMIF($A$3:$A$500,CONCATENATE("&gt;",TEXT(DATEVALUE(TEXT(A130,"dd/mm/aaaa")),0)),$M$3:$M$500)-SUMIF($A$3:$A$500,CONCATENATE("&gt;",TEXT(Dados!$C$16-1,0)),$M$3:$M$500)+1%))</f>
        <v>0</v>
      </c>
      <c r="O130" s="119">
        <v>0.005</v>
      </c>
      <c r="P130" s="120">
        <f t="shared" si="17"/>
        <v>0.851042</v>
      </c>
      <c r="Q130" s="119">
        <v>0.01</v>
      </c>
      <c r="R130" s="120">
        <f t="shared" si="18"/>
        <v>1.111042</v>
      </c>
      <c r="S130" s="119">
        <v>0.005</v>
      </c>
      <c r="T130" s="120">
        <f t="shared" si="19"/>
        <v>0.851042</v>
      </c>
      <c r="AG130" s="121">
        <f t="shared" si="23"/>
        <v>38384</v>
      </c>
      <c r="AH130" s="121">
        <f t="shared" si="24"/>
        <v>38384</v>
      </c>
      <c r="AI130" s="121">
        <f t="shared" si="25"/>
        <v>38384</v>
      </c>
      <c r="AJ130" s="121">
        <f t="shared" si="26"/>
        <v>38384</v>
      </c>
      <c r="AK130" s="121">
        <f t="shared" si="27"/>
        <v>38384</v>
      </c>
    </row>
    <row r="131" spans="1:37" ht="15">
      <c r="A131" s="113">
        <v>38412</v>
      </c>
      <c r="B131" s="113" t="e">
        <f t="shared" si="30"/>
        <v>#N/A</v>
      </c>
      <c r="C131" s="108" t="e">
        <f aca="true" t="shared" si="32" ref="C131:C194">IF(B131="IPCA-E",I131,IF(B131="INPC",J131,IF(B131="TR",K131,IF(B131="IGP-DI",L131,0))))</f>
        <v>#N/A</v>
      </c>
      <c r="D131" s="114">
        <f t="shared" si="20"/>
        <v>0</v>
      </c>
      <c r="E131" s="114" t="e">
        <f t="shared" si="31"/>
        <v>#N/A</v>
      </c>
      <c r="F131" s="108" t="e">
        <f t="shared" si="21"/>
        <v>#N/A</v>
      </c>
      <c r="G131" s="114">
        <f t="shared" si="22"/>
        <v>0</v>
      </c>
      <c r="H131" s="110">
        <v>131</v>
      </c>
      <c r="I131" s="115">
        <v>0.0035</v>
      </c>
      <c r="J131" s="116">
        <v>0.0073</v>
      </c>
      <c r="K131" s="115">
        <v>0.002635</v>
      </c>
      <c r="L131" s="116">
        <v>0.0099</v>
      </c>
      <c r="M131" s="117">
        <v>0.0153</v>
      </c>
      <c r="N131" s="118">
        <f>IF(A131&gt;Dados!$C$16,0,IF(A131=Dados!$C$16,1,SUMIF($A$3:$A$500,CONCATENATE("&gt;",TEXT(DATEVALUE(TEXT(A131,"dd/mm/aaaa")),0)),$M$3:$M$500)-SUMIF($A$3:$A$500,CONCATENATE("&gt;",TEXT(Dados!$C$16-1,0)),$M$3:$M$500)+1%))</f>
        <v>0</v>
      </c>
      <c r="O131" s="119">
        <v>0.005</v>
      </c>
      <c r="P131" s="120">
        <f aca="true" t="shared" si="33" ref="P131:P194">O132+P132</f>
        <v>0.846042</v>
      </c>
      <c r="Q131" s="119">
        <v>0.01</v>
      </c>
      <c r="R131" s="120">
        <f aca="true" t="shared" si="34" ref="R131:R194">Q132+R132</f>
        <v>1.101042</v>
      </c>
      <c r="S131" s="119">
        <v>0.005</v>
      </c>
      <c r="T131" s="120">
        <f aca="true" t="shared" si="35" ref="T131:T194">S132+T132</f>
        <v>0.846042</v>
      </c>
      <c r="AG131" s="121">
        <f t="shared" si="23"/>
        <v>38412</v>
      </c>
      <c r="AH131" s="121">
        <f t="shared" si="24"/>
        <v>38412</v>
      </c>
      <c r="AI131" s="121">
        <f t="shared" si="25"/>
        <v>38412</v>
      </c>
      <c r="AJ131" s="121">
        <f t="shared" si="26"/>
        <v>38412</v>
      </c>
      <c r="AK131" s="121">
        <f t="shared" si="27"/>
        <v>38412</v>
      </c>
    </row>
    <row r="132" spans="1:37" ht="15">
      <c r="A132" s="113">
        <v>38443</v>
      </c>
      <c r="B132" s="113" t="e">
        <f t="shared" si="30"/>
        <v>#N/A</v>
      </c>
      <c r="C132" s="108" t="e">
        <f t="shared" si="32"/>
        <v>#N/A</v>
      </c>
      <c r="D132" s="114">
        <f aca="true" t="shared" si="36" ref="D132:D195">IF(A132&gt;$D$2,0,IF(A132=$D$2,1,D133*(1+C132)))</f>
        <v>0</v>
      </c>
      <c r="E132" s="114" t="e">
        <f t="shared" si="31"/>
        <v>#N/A</v>
      </c>
      <c r="F132" s="108" t="e">
        <f aca="true" t="shared" si="37" ref="F132:F195">IF(E132="IPCA-E",I132,IF(E132="INPC",J132,IF(E132="TR",K132,IF(E132="IGP-DI",L132,IF(E132="SELIC",M132,N132)))))</f>
        <v>#N/A</v>
      </c>
      <c r="G132" s="114">
        <f aca="true" t="shared" si="38" ref="G132:G195">IF(A132&gt;$G$2,0,IF(A132=$G$2,1,G133*(1+F132)))</f>
        <v>0</v>
      </c>
      <c r="H132" s="110">
        <v>132</v>
      </c>
      <c r="I132" s="115">
        <v>0.0074</v>
      </c>
      <c r="J132" s="116">
        <v>0.0091</v>
      </c>
      <c r="K132" s="115">
        <v>0.002003</v>
      </c>
      <c r="L132" s="116">
        <v>0.0051</v>
      </c>
      <c r="M132" s="117">
        <v>0.0141</v>
      </c>
      <c r="N132" s="118">
        <f>IF(A132&gt;Dados!$C$16,0,IF(A132=Dados!$C$16,1,SUMIF($A$3:$A$500,CONCATENATE("&gt;",TEXT(DATEVALUE(TEXT(A132,"dd/mm/aaaa")),0)),$M$3:$M$500)-SUMIF($A$3:$A$500,CONCATENATE("&gt;",TEXT(Dados!$C$16-1,0)),$M$3:$M$500)+1%))</f>
        <v>0</v>
      </c>
      <c r="O132" s="119">
        <v>0.005</v>
      </c>
      <c r="P132" s="120">
        <f t="shared" si="33"/>
        <v>0.841042</v>
      </c>
      <c r="Q132" s="119">
        <v>0.01</v>
      </c>
      <c r="R132" s="120">
        <f t="shared" si="34"/>
        <v>1.091042</v>
      </c>
      <c r="S132" s="119">
        <v>0.005</v>
      </c>
      <c r="T132" s="120">
        <f t="shared" si="35"/>
        <v>0.841042</v>
      </c>
      <c r="AG132" s="121">
        <f aca="true" t="shared" si="39" ref="AG132:AG195">IF(OR(L132&lt;&gt;0,AD132=1),$A132,"")</f>
        <v>38443</v>
      </c>
      <c r="AH132" s="121">
        <f aca="true" t="shared" si="40" ref="AH132:AH195">IF(OR(J132&lt;&gt;0,AB132=1),$A132,"")</f>
        <v>38443</v>
      </c>
      <c r="AI132" s="121">
        <f aca="true" t="shared" si="41" ref="AI132:AI195">IF(OR(I132&lt;&gt;0,AA132=1),$A132,"")</f>
        <v>38443</v>
      </c>
      <c r="AJ132" s="121">
        <f aca="true" t="shared" si="42" ref="AJ132:AJ195">IF(OR(M132&lt;&gt;0,AE132=1),$A132,"")</f>
        <v>38443</v>
      </c>
      <c r="AK132" s="121">
        <f aca="true" t="shared" si="43" ref="AK132:AK195">IF(OR(K132&lt;&gt;0,AC132=1),$A132,"")</f>
        <v>38443</v>
      </c>
    </row>
    <row r="133" spans="1:37" ht="15">
      <c r="A133" s="113">
        <v>38473</v>
      </c>
      <c r="B133" s="113" t="e">
        <f t="shared" si="30"/>
        <v>#N/A</v>
      </c>
      <c r="C133" s="108" t="e">
        <f t="shared" si="32"/>
        <v>#N/A</v>
      </c>
      <c r="D133" s="114">
        <f t="shared" si="36"/>
        <v>0</v>
      </c>
      <c r="E133" s="114" t="e">
        <f t="shared" si="31"/>
        <v>#N/A</v>
      </c>
      <c r="F133" s="108" t="e">
        <f t="shared" si="37"/>
        <v>#N/A</v>
      </c>
      <c r="G133" s="114">
        <f t="shared" si="38"/>
        <v>0</v>
      </c>
      <c r="H133" s="110">
        <v>133</v>
      </c>
      <c r="I133" s="115">
        <v>0.0083</v>
      </c>
      <c r="J133" s="116">
        <v>0.007</v>
      </c>
      <c r="K133" s="115">
        <v>0.002527</v>
      </c>
      <c r="L133" s="116">
        <v>-0.0025</v>
      </c>
      <c r="M133" s="117">
        <v>0.015</v>
      </c>
      <c r="N133" s="118">
        <f>IF(A133&gt;Dados!$C$16,0,IF(A133=Dados!$C$16,1,SUMIF($A$3:$A$500,CONCATENATE("&gt;",TEXT(DATEVALUE(TEXT(A133,"dd/mm/aaaa")),0)),$M$3:$M$500)-SUMIF($A$3:$A$500,CONCATENATE("&gt;",TEXT(Dados!$C$16-1,0)),$M$3:$M$500)+1%))</f>
        <v>0</v>
      </c>
      <c r="O133" s="119">
        <v>0.005</v>
      </c>
      <c r="P133" s="120">
        <f t="shared" si="33"/>
        <v>0.836042</v>
      </c>
      <c r="Q133" s="119">
        <v>0.01</v>
      </c>
      <c r="R133" s="120">
        <f t="shared" si="34"/>
        <v>1.081042</v>
      </c>
      <c r="S133" s="119">
        <v>0.005</v>
      </c>
      <c r="T133" s="120">
        <f t="shared" si="35"/>
        <v>0.836042</v>
      </c>
      <c r="AG133" s="121">
        <f t="shared" si="39"/>
        <v>38473</v>
      </c>
      <c r="AH133" s="121">
        <f t="shared" si="40"/>
        <v>38473</v>
      </c>
      <c r="AI133" s="121">
        <f t="shared" si="41"/>
        <v>38473</v>
      </c>
      <c r="AJ133" s="121">
        <f t="shared" si="42"/>
        <v>38473</v>
      </c>
      <c r="AK133" s="121">
        <f t="shared" si="43"/>
        <v>38473</v>
      </c>
    </row>
    <row r="134" spans="1:37" ht="15">
      <c r="A134" s="113">
        <v>38504</v>
      </c>
      <c r="B134" s="113" t="e">
        <f t="shared" si="30"/>
        <v>#N/A</v>
      </c>
      <c r="C134" s="108" t="e">
        <f t="shared" si="32"/>
        <v>#N/A</v>
      </c>
      <c r="D134" s="114">
        <f t="shared" si="36"/>
        <v>0</v>
      </c>
      <c r="E134" s="114" t="e">
        <f t="shared" si="31"/>
        <v>#N/A</v>
      </c>
      <c r="F134" s="108" t="e">
        <f t="shared" si="37"/>
        <v>#N/A</v>
      </c>
      <c r="G134" s="114">
        <f t="shared" si="38"/>
        <v>0</v>
      </c>
      <c r="H134" s="110">
        <v>134</v>
      </c>
      <c r="I134" s="115">
        <v>0.0012</v>
      </c>
      <c r="J134" s="116">
        <v>-0.0011</v>
      </c>
      <c r="K134" s="115">
        <v>0.002993</v>
      </c>
      <c r="L134" s="116">
        <v>-0.0045</v>
      </c>
      <c r="M134" s="117">
        <v>0.0159</v>
      </c>
      <c r="N134" s="118">
        <f>IF(A134&gt;Dados!$C$16,0,IF(A134=Dados!$C$16,1,SUMIF($A$3:$A$500,CONCATENATE("&gt;",TEXT(DATEVALUE(TEXT(A134,"dd/mm/aaaa")),0)),$M$3:$M$500)-SUMIF($A$3:$A$500,CONCATENATE("&gt;",TEXT(Dados!$C$16-1,0)),$M$3:$M$500)+1%))</f>
        <v>0</v>
      </c>
      <c r="O134" s="119">
        <v>0.005</v>
      </c>
      <c r="P134" s="120">
        <f t="shared" si="33"/>
        <v>0.831042</v>
      </c>
      <c r="Q134" s="119">
        <v>0.01</v>
      </c>
      <c r="R134" s="120">
        <f t="shared" si="34"/>
        <v>1.071042</v>
      </c>
      <c r="S134" s="119">
        <v>0.005</v>
      </c>
      <c r="T134" s="120">
        <f t="shared" si="35"/>
        <v>0.831042</v>
      </c>
      <c r="AG134" s="121">
        <f t="shared" si="39"/>
        <v>38504</v>
      </c>
      <c r="AH134" s="121">
        <f t="shared" si="40"/>
        <v>38504</v>
      </c>
      <c r="AI134" s="121">
        <f t="shared" si="41"/>
        <v>38504</v>
      </c>
      <c r="AJ134" s="121">
        <f t="shared" si="42"/>
        <v>38504</v>
      </c>
      <c r="AK134" s="121">
        <f t="shared" si="43"/>
        <v>38504</v>
      </c>
    </row>
    <row r="135" spans="1:37" ht="15">
      <c r="A135" s="113">
        <v>38534</v>
      </c>
      <c r="B135" s="113" t="e">
        <f t="shared" si="30"/>
        <v>#N/A</v>
      </c>
      <c r="C135" s="108" t="e">
        <f t="shared" si="32"/>
        <v>#N/A</v>
      </c>
      <c r="D135" s="114">
        <f t="shared" si="36"/>
        <v>0</v>
      </c>
      <c r="E135" s="114" t="e">
        <f t="shared" si="31"/>
        <v>#N/A</v>
      </c>
      <c r="F135" s="108" t="e">
        <f t="shared" si="37"/>
        <v>#N/A</v>
      </c>
      <c r="G135" s="114">
        <f t="shared" si="38"/>
        <v>0</v>
      </c>
      <c r="H135" s="110">
        <v>135</v>
      </c>
      <c r="I135" s="115">
        <v>0.0011</v>
      </c>
      <c r="J135" s="116">
        <v>0.0003</v>
      </c>
      <c r="K135" s="115">
        <v>0.002575</v>
      </c>
      <c r="L135" s="116">
        <v>-0.004</v>
      </c>
      <c r="M135" s="117">
        <v>0.0151</v>
      </c>
      <c r="N135" s="118">
        <f>IF(A135&gt;Dados!$C$16,0,IF(A135=Dados!$C$16,1,SUMIF($A$3:$A$500,CONCATENATE("&gt;",TEXT(DATEVALUE(TEXT(A135,"dd/mm/aaaa")),0)),$M$3:$M$500)-SUMIF($A$3:$A$500,CONCATENATE("&gt;",TEXT(Dados!$C$16-1,0)),$M$3:$M$500)+1%))</f>
        <v>0</v>
      </c>
      <c r="O135" s="119">
        <v>0.005</v>
      </c>
      <c r="P135" s="120">
        <f t="shared" si="33"/>
        <v>0.826042</v>
      </c>
      <c r="Q135" s="119">
        <v>0.01</v>
      </c>
      <c r="R135" s="120">
        <f t="shared" si="34"/>
        <v>1.061042</v>
      </c>
      <c r="S135" s="119">
        <v>0.005</v>
      </c>
      <c r="T135" s="120">
        <f t="shared" si="35"/>
        <v>0.826042</v>
      </c>
      <c r="AG135" s="121">
        <f t="shared" si="39"/>
        <v>38534</v>
      </c>
      <c r="AH135" s="121">
        <f t="shared" si="40"/>
        <v>38534</v>
      </c>
      <c r="AI135" s="121">
        <f t="shared" si="41"/>
        <v>38534</v>
      </c>
      <c r="AJ135" s="121">
        <f t="shared" si="42"/>
        <v>38534</v>
      </c>
      <c r="AK135" s="121">
        <f t="shared" si="43"/>
        <v>38534</v>
      </c>
    </row>
    <row r="136" spans="1:37" ht="15">
      <c r="A136" s="113">
        <v>38565</v>
      </c>
      <c r="B136" s="113" t="e">
        <f t="shared" si="30"/>
        <v>#N/A</v>
      </c>
      <c r="C136" s="108" t="e">
        <f t="shared" si="32"/>
        <v>#N/A</v>
      </c>
      <c r="D136" s="114">
        <f t="shared" si="36"/>
        <v>0</v>
      </c>
      <c r="E136" s="114" t="e">
        <f t="shared" si="31"/>
        <v>#N/A</v>
      </c>
      <c r="F136" s="108" t="e">
        <f t="shared" si="37"/>
        <v>#N/A</v>
      </c>
      <c r="G136" s="114">
        <f t="shared" si="38"/>
        <v>0</v>
      </c>
      <c r="H136" s="110">
        <v>136</v>
      </c>
      <c r="I136" s="115">
        <v>0.0028</v>
      </c>
      <c r="J136" s="116">
        <v>0</v>
      </c>
      <c r="K136" s="115">
        <v>0.003466</v>
      </c>
      <c r="L136" s="116">
        <v>-0.0079</v>
      </c>
      <c r="M136" s="117">
        <v>0.0166</v>
      </c>
      <c r="N136" s="118">
        <f>IF(A136&gt;Dados!$C$16,0,IF(A136=Dados!$C$16,1,SUMIF($A$3:$A$500,CONCATENATE("&gt;",TEXT(DATEVALUE(TEXT(A136,"dd/mm/aaaa")),0)),$M$3:$M$500)-SUMIF($A$3:$A$500,CONCATENATE("&gt;",TEXT(Dados!$C$16-1,0)),$M$3:$M$500)+1%))</f>
        <v>0</v>
      </c>
      <c r="O136" s="119">
        <v>0.005</v>
      </c>
      <c r="P136" s="120">
        <f t="shared" si="33"/>
        <v>0.821042</v>
      </c>
      <c r="Q136" s="119">
        <v>0.01</v>
      </c>
      <c r="R136" s="120">
        <f t="shared" si="34"/>
        <v>1.051042</v>
      </c>
      <c r="S136" s="119">
        <v>0.005</v>
      </c>
      <c r="T136" s="120">
        <f t="shared" si="35"/>
        <v>0.821042</v>
      </c>
      <c r="AB136" s="104">
        <v>1</v>
      </c>
      <c r="AD136" s="104">
        <v>1</v>
      </c>
      <c r="AG136" s="121">
        <f t="shared" si="39"/>
        <v>38565</v>
      </c>
      <c r="AH136" s="121">
        <f t="shared" si="40"/>
        <v>38565</v>
      </c>
      <c r="AI136" s="121">
        <f t="shared" si="41"/>
        <v>38565</v>
      </c>
      <c r="AJ136" s="121">
        <f t="shared" si="42"/>
        <v>38565</v>
      </c>
      <c r="AK136" s="121">
        <f t="shared" si="43"/>
        <v>38565</v>
      </c>
    </row>
    <row r="137" spans="1:37" ht="15">
      <c r="A137" s="113">
        <v>38596</v>
      </c>
      <c r="B137" s="113" t="e">
        <f t="shared" si="30"/>
        <v>#N/A</v>
      </c>
      <c r="C137" s="108" t="e">
        <f t="shared" si="32"/>
        <v>#N/A</v>
      </c>
      <c r="D137" s="114">
        <f t="shared" si="36"/>
        <v>0</v>
      </c>
      <c r="E137" s="114" t="e">
        <f t="shared" si="31"/>
        <v>#N/A</v>
      </c>
      <c r="F137" s="108" t="e">
        <f t="shared" si="37"/>
        <v>#N/A</v>
      </c>
      <c r="G137" s="114">
        <f t="shared" si="38"/>
        <v>0</v>
      </c>
      <c r="H137" s="110">
        <v>137</v>
      </c>
      <c r="I137" s="115">
        <v>0.0016</v>
      </c>
      <c r="J137" s="116">
        <v>0.0015</v>
      </c>
      <c r="K137" s="115">
        <v>0.002637</v>
      </c>
      <c r="L137" s="116">
        <v>-0.0013</v>
      </c>
      <c r="M137" s="117">
        <v>0.015</v>
      </c>
      <c r="N137" s="118">
        <f>IF(A137&gt;Dados!$C$16,0,IF(A137=Dados!$C$16,1,SUMIF($A$3:$A$500,CONCATENATE("&gt;",TEXT(DATEVALUE(TEXT(A137,"dd/mm/aaaa")),0)),$M$3:$M$500)-SUMIF($A$3:$A$500,CONCATENATE("&gt;",TEXT(Dados!$C$16-1,0)),$M$3:$M$500)+1%))</f>
        <v>0</v>
      </c>
      <c r="O137" s="119">
        <v>0.005</v>
      </c>
      <c r="P137" s="120">
        <f t="shared" si="33"/>
        <v>0.816042</v>
      </c>
      <c r="Q137" s="119">
        <v>0.01</v>
      </c>
      <c r="R137" s="120">
        <f t="shared" si="34"/>
        <v>1.041042</v>
      </c>
      <c r="S137" s="119">
        <v>0.005</v>
      </c>
      <c r="T137" s="120">
        <f t="shared" si="35"/>
        <v>0.816042</v>
      </c>
      <c r="AG137" s="121">
        <f t="shared" si="39"/>
        <v>38596</v>
      </c>
      <c r="AH137" s="121">
        <f t="shared" si="40"/>
        <v>38596</v>
      </c>
      <c r="AI137" s="121">
        <f t="shared" si="41"/>
        <v>38596</v>
      </c>
      <c r="AJ137" s="121">
        <f t="shared" si="42"/>
        <v>38596</v>
      </c>
      <c r="AK137" s="121">
        <f t="shared" si="43"/>
        <v>38596</v>
      </c>
    </row>
    <row r="138" spans="1:37" ht="15">
      <c r="A138" s="113">
        <v>38626</v>
      </c>
      <c r="B138" s="113" t="e">
        <f t="shared" si="30"/>
        <v>#N/A</v>
      </c>
      <c r="C138" s="108" t="e">
        <f t="shared" si="32"/>
        <v>#N/A</v>
      </c>
      <c r="D138" s="114">
        <f t="shared" si="36"/>
        <v>0</v>
      </c>
      <c r="E138" s="114" t="e">
        <f t="shared" si="31"/>
        <v>#N/A</v>
      </c>
      <c r="F138" s="108" t="e">
        <f t="shared" si="37"/>
        <v>#N/A</v>
      </c>
      <c r="G138" s="114">
        <f t="shared" si="38"/>
        <v>0</v>
      </c>
      <c r="H138" s="110">
        <v>138</v>
      </c>
      <c r="I138" s="115">
        <v>0.0056</v>
      </c>
      <c r="J138" s="116">
        <v>0.0058</v>
      </c>
      <c r="K138" s="115">
        <v>0.0021</v>
      </c>
      <c r="L138" s="116">
        <v>0.0063</v>
      </c>
      <c r="M138" s="117">
        <v>0.0141</v>
      </c>
      <c r="N138" s="118">
        <f>IF(A138&gt;Dados!$C$16,0,IF(A138=Dados!$C$16,1,SUMIF($A$3:$A$500,CONCATENATE("&gt;",TEXT(DATEVALUE(TEXT(A138,"dd/mm/aaaa")),0)),$M$3:$M$500)-SUMIF($A$3:$A$500,CONCATENATE("&gt;",TEXT(Dados!$C$16-1,0)),$M$3:$M$500)+1%))</f>
        <v>0</v>
      </c>
      <c r="O138" s="119">
        <v>0.005</v>
      </c>
      <c r="P138" s="120">
        <f t="shared" si="33"/>
        <v>0.811042</v>
      </c>
      <c r="Q138" s="119">
        <v>0.01</v>
      </c>
      <c r="R138" s="120">
        <f t="shared" si="34"/>
        <v>1.031042</v>
      </c>
      <c r="S138" s="119">
        <v>0.005</v>
      </c>
      <c r="T138" s="120">
        <f t="shared" si="35"/>
        <v>0.811042</v>
      </c>
      <c r="AG138" s="121">
        <f t="shared" si="39"/>
        <v>38626</v>
      </c>
      <c r="AH138" s="121">
        <f t="shared" si="40"/>
        <v>38626</v>
      </c>
      <c r="AI138" s="121">
        <f t="shared" si="41"/>
        <v>38626</v>
      </c>
      <c r="AJ138" s="121">
        <f t="shared" si="42"/>
        <v>38626</v>
      </c>
      <c r="AK138" s="121">
        <f t="shared" si="43"/>
        <v>38626</v>
      </c>
    </row>
    <row r="139" spans="1:37" ht="15">
      <c r="A139" s="113">
        <v>38657</v>
      </c>
      <c r="B139" s="113" t="e">
        <f t="shared" si="30"/>
        <v>#N/A</v>
      </c>
      <c r="C139" s="108" t="e">
        <f t="shared" si="32"/>
        <v>#N/A</v>
      </c>
      <c r="D139" s="114">
        <f t="shared" si="36"/>
        <v>0</v>
      </c>
      <c r="E139" s="114" t="e">
        <f t="shared" si="31"/>
        <v>#N/A</v>
      </c>
      <c r="F139" s="108" t="e">
        <f t="shared" si="37"/>
        <v>#N/A</v>
      </c>
      <c r="G139" s="114">
        <f t="shared" si="38"/>
        <v>0</v>
      </c>
      <c r="H139" s="110">
        <v>139</v>
      </c>
      <c r="I139" s="115">
        <v>0.0078</v>
      </c>
      <c r="J139" s="116">
        <v>0.0054</v>
      </c>
      <c r="K139" s="115">
        <v>0.001929</v>
      </c>
      <c r="L139" s="116">
        <v>0.0033</v>
      </c>
      <c r="M139" s="117">
        <v>0.0138</v>
      </c>
      <c r="N139" s="118">
        <f>IF(A139&gt;Dados!$C$16,0,IF(A139=Dados!$C$16,1,SUMIF($A$3:$A$500,CONCATENATE("&gt;",TEXT(DATEVALUE(TEXT(A139,"dd/mm/aaaa")),0)),$M$3:$M$500)-SUMIF($A$3:$A$500,CONCATENATE("&gt;",TEXT(Dados!$C$16-1,0)),$M$3:$M$500)+1%))</f>
        <v>0</v>
      </c>
      <c r="O139" s="119">
        <v>0.005</v>
      </c>
      <c r="P139" s="120">
        <f t="shared" si="33"/>
        <v>0.806042</v>
      </c>
      <c r="Q139" s="119">
        <v>0.01</v>
      </c>
      <c r="R139" s="120">
        <f t="shared" si="34"/>
        <v>1.021042</v>
      </c>
      <c r="S139" s="119">
        <v>0.005</v>
      </c>
      <c r="T139" s="120">
        <f t="shared" si="35"/>
        <v>0.806042</v>
      </c>
      <c r="AG139" s="121">
        <f t="shared" si="39"/>
        <v>38657</v>
      </c>
      <c r="AH139" s="121">
        <f t="shared" si="40"/>
        <v>38657</v>
      </c>
      <c r="AI139" s="121">
        <f t="shared" si="41"/>
        <v>38657</v>
      </c>
      <c r="AJ139" s="121">
        <f t="shared" si="42"/>
        <v>38657</v>
      </c>
      <c r="AK139" s="121">
        <f t="shared" si="43"/>
        <v>38657</v>
      </c>
    </row>
    <row r="140" spans="1:37" ht="15">
      <c r="A140" s="113">
        <v>38687</v>
      </c>
      <c r="B140" s="113" t="e">
        <f t="shared" si="30"/>
        <v>#N/A</v>
      </c>
      <c r="C140" s="108" t="e">
        <f t="shared" si="32"/>
        <v>#N/A</v>
      </c>
      <c r="D140" s="114">
        <f t="shared" si="36"/>
        <v>0</v>
      </c>
      <c r="E140" s="114" t="e">
        <f t="shared" si="31"/>
        <v>#N/A</v>
      </c>
      <c r="F140" s="108" t="e">
        <f t="shared" si="37"/>
        <v>#N/A</v>
      </c>
      <c r="G140" s="114">
        <f t="shared" si="38"/>
        <v>0</v>
      </c>
      <c r="H140" s="110">
        <v>140</v>
      </c>
      <c r="I140" s="115">
        <v>0.0038</v>
      </c>
      <c r="J140" s="116">
        <v>0.004</v>
      </c>
      <c r="K140" s="115">
        <v>0.002269</v>
      </c>
      <c r="L140" s="116">
        <v>0.0007</v>
      </c>
      <c r="M140" s="117">
        <v>0.0147</v>
      </c>
      <c r="N140" s="118">
        <f>IF(A140&gt;Dados!$C$16,0,IF(A140=Dados!$C$16,1,SUMIF($A$3:$A$500,CONCATENATE("&gt;",TEXT(DATEVALUE(TEXT(A140,"dd/mm/aaaa")),0)),$M$3:$M$500)-SUMIF($A$3:$A$500,CONCATENATE("&gt;",TEXT(Dados!$C$16-1,0)),$M$3:$M$500)+1%))</f>
        <v>0</v>
      </c>
      <c r="O140" s="119">
        <v>0.005</v>
      </c>
      <c r="P140" s="120">
        <f t="shared" si="33"/>
        <v>0.801042</v>
      </c>
      <c r="Q140" s="119">
        <v>0.01</v>
      </c>
      <c r="R140" s="120">
        <f t="shared" si="34"/>
        <v>1.011042</v>
      </c>
      <c r="S140" s="119">
        <v>0.005</v>
      </c>
      <c r="T140" s="120">
        <f t="shared" si="35"/>
        <v>0.801042</v>
      </c>
      <c r="AG140" s="121">
        <f t="shared" si="39"/>
        <v>38687</v>
      </c>
      <c r="AH140" s="121">
        <f t="shared" si="40"/>
        <v>38687</v>
      </c>
      <c r="AI140" s="121">
        <f t="shared" si="41"/>
        <v>38687</v>
      </c>
      <c r="AJ140" s="121">
        <f t="shared" si="42"/>
        <v>38687</v>
      </c>
      <c r="AK140" s="121">
        <f t="shared" si="43"/>
        <v>38687</v>
      </c>
    </row>
    <row r="141" spans="1:37" ht="15">
      <c r="A141" s="113">
        <v>38718</v>
      </c>
      <c r="B141" s="113" t="e">
        <f t="shared" si="30"/>
        <v>#N/A</v>
      </c>
      <c r="C141" s="108" t="e">
        <f t="shared" si="32"/>
        <v>#N/A</v>
      </c>
      <c r="D141" s="114">
        <f t="shared" si="36"/>
        <v>0</v>
      </c>
      <c r="E141" s="114" t="e">
        <f t="shared" si="31"/>
        <v>#N/A</v>
      </c>
      <c r="F141" s="108" t="e">
        <f t="shared" si="37"/>
        <v>#N/A</v>
      </c>
      <c r="G141" s="114">
        <f t="shared" si="38"/>
        <v>0</v>
      </c>
      <c r="H141" s="110">
        <v>141</v>
      </c>
      <c r="I141" s="115">
        <v>0.0051</v>
      </c>
      <c r="J141" s="116">
        <v>0.0038</v>
      </c>
      <c r="K141" s="115">
        <v>0.002326</v>
      </c>
      <c r="L141" s="116">
        <v>0.0072</v>
      </c>
      <c r="M141" s="117">
        <v>0.0143</v>
      </c>
      <c r="N141" s="118">
        <f>IF(A141&gt;Dados!$C$16,0,IF(A141=Dados!$C$16,1,SUMIF($A$3:$A$500,CONCATENATE("&gt;",TEXT(DATEVALUE(TEXT(A141,"dd/mm/aaaa")),0)),$M$3:$M$500)-SUMIF($A$3:$A$500,CONCATENATE("&gt;",TEXT(Dados!$C$16-1,0)),$M$3:$M$500)+1%))</f>
        <v>0</v>
      </c>
      <c r="O141" s="119">
        <v>0.005</v>
      </c>
      <c r="P141" s="120">
        <f t="shared" si="33"/>
        <v>0.796042</v>
      </c>
      <c r="Q141" s="119">
        <v>0.01</v>
      </c>
      <c r="R141" s="120">
        <f t="shared" si="34"/>
        <v>1.001042</v>
      </c>
      <c r="S141" s="119">
        <v>0.005</v>
      </c>
      <c r="T141" s="120">
        <f t="shared" si="35"/>
        <v>0.796042</v>
      </c>
      <c r="AG141" s="121">
        <f t="shared" si="39"/>
        <v>38718</v>
      </c>
      <c r="AH141" s="121">
        <f t="shared" si="40"/>
        <v>38718</v>
      </c>
      <c r="AI141" s="121">
        <f t="shared" si="41"/>
        <v>38718</v>
      </c>
      <c r="AJ141" s="121">
        <f t="shared" si="42"/>
        <v>38718</v>
      </c>
      <c r="AK141" s="121">
        <f t="shared" si="43"/>
        <v>38718</v>
      </c>
    </row>
    <row r="142" spans="1:37" ht="15">
      <c r="A142" s="113">
        <v>38749</v>
      </c>
      <c r="B142" s="113" t="e">
        <f t="shared" si="30"/>
        <v>#N/A</v>
      </c>
      <c r="C142" s="108" t="e">
        <f t="shared" si="32"/>
        <v>#N/A</v>
      </c>
      <c r="D142" s="114">
        <f t="shared" si="36"/>
        <v>0</v>
      </c>
      <c r="E142" s="114" t="e">
        <f t="shared" si="31"/>
        <v>#N/A</v>
      </c>
      <c r="F142" s="108" t="e">
        <f t="shared" si="37"/>
        <v>#N/A</v>
      </c>
      <c r="G142" s="114">
        <f t="shared" si="38"/>
        <v>0</v>
      </c>
      <c r="H142" s="110">
        <v>142</v>
      </c>
      <c r="I142" s="115">
        <v>0.0052</v>
      </c>
      <c r="J142" s="116">
        <v>0.0023</v>
      </c>
      <c r="K142" s="115">
        <v>0.000725</v>
      </c>
      <c r="L142" s="116">
        <v>-0.0006</v>
      </c>
      <c r="M142" s="117">
        <v>0.0115</v>
      </c>
      <c r="N142" s="118">
        <f>IF(A142&gt;Dados!$C$16,0,IF(A142=Dados!$C$16,1,SUMIF($A$3:$A$500,CONCATENATE("&gt;",TEXT(DATEVALUE(TEXT(A142,"dd/mm/aaaa")),0)),$M$3:$M$500)-SUMIF($A$3:$A$500,CONCATENATE("&gt;",TEXT(Dados!$C$16-1,0)),$M$3:$M$500)+1%))</f>
        <v>0</v>
      </c>
      <c r="O142" s="119">
        <v>0.005</v>
      </c>
      <c r="P142" s="120">
        <f t="shared" si="33"/>
        <v>0.791042</v>
      </c>
      <c r="Q142" s="119">
        <v>0.01</v>
      </c>
      <c r="R142" s="120">
        <f t="shared" si="34"/>
        <v>0.991042</v>
      </c>
      <c r="S142" s="119">
        <v>0.005</v>
      </c>
      <c r="T142" s="120">
        <f t="shared" si="35"/>
        <v>0.791042</v>
      </c>
      <c r="AG142" s="121">
        <f t="shared" si="39"/>
        <v>38749</v>
      </c>
      <c r="AH142" s="121">
        <f t="shared" si="40"/>
        <v>38749</v>
      </c>
      <c r="AI142" s="121">
        <f t="shared" si="41"/>
        <v>38749</v>
      </c>
      <c r="AJ142" s="121">
        <f t="shared" si="42"/>
        <v>38749</v>
      </c>
      <c r="AK142" s="121">
        <f t="shared" si="43"/>
        <v>38749</v>
      </c>
    </row>
    <row r="143" spans="1:37" ht="15">
      <c r="A143" s="113">
        <v>38777</v>
      </c>
      <c r="B143" s="113" t="e">
        <f t="shared" si="30"/>
        <v>#N/A</v>
      </c>
      <c r="C143" s="108" t="e">
        <f t="shared" si="32"/>
        <v>#N/A</v>
      </c>
      <c r="D143" s="114">
        <f t="shared" si="36"/>
        <v>0</v>
      </c>
      <c r="E143" s="114" t="e">
        <f t="shared" si="31"/>
        <v>#N/A</v>
      </c>
      <c r="F143" s="108" t="e">
        <f t="shared" si="37"/>
        <v>#N/A</v>
      </c>
      <c r="G143" s="114">
        <f t="shared" si="38"/>
        <v>0</v>
      </c>
      <c r="H143" s="110">
        <v>143</v>
      </c>
      <c r="I143" s="115">
        <v>0.0037</v>
      </c>
      <c r="J143" s="116">
        <v>0.0027</v>
      </c>
      <c r="K143" s="115">
        <v>0.002073</v>
      </c>
      <c r="L143" s="116">
        <v>-0.0045</v>
      </c>
      <c r="M143" s="117">
        <v>0.0142</v>
      </c>
      <c r="N143" s="118">
        <f>IF(A143&gt;Dados!$C$16,0,IF(A143=Dados!$C$16,1,SUMIF($A$3:$A$500,CONCATENATE("&gt;",TEXT(DATEVALUE(TEXT(A143,"dd/mm/aaaa")),0)),$M$3:$M$500)-SUMIF($A$3:$A$500,CONCATENATE("&gt;",TEXT(Dados!$C$16-1,0)),$M$3:$M$500)+1%))</f>
        <v>0</v>
      </c>
      <c r="O143" s="119">
        <v>0.005</v>
      </c>
      <c r="P143" s="120">
        <f t="shared" si="33"/>
        <v>0.786042</v>
      </c>
      <c r="Q143" s="119">
        <v>0.01</v>
      </c>
      <c r="R143" s="120">
        <f t="shared" si="34"/>
        <v>0.981042</v>
      </c>
      <c r="S143" s="119">
        <v>0.005</v>
      </c>
      <c r="T143" s="120">
        <f t="shared" si="35"/>
        <v>0.786042</v>
      </c>
      <c r="AG143" s="121">
        <f t="shared" si="39"/>
        <v>38777</v>
      </c>
      <c r="AH143" s="121">
        <f t="shared" si="40"/>
        <v>38777</v>
      </c>
      <c r="AI143" s="121">
        <f t="shared" si="41"/>
        <v>38777</v>
      </c>
      <c r="AJ143" s="121">
        <f t="shared" si="42"/>
        <v>38777</v>
      </c>
      <c r="AK143" s="121">
        <f t="shared" si="43"/>
        <v>38777</v>
      </c>
    </row>
    <row r="144" spans="1:37" ht="15">
      <c r="A144" s="128">
        <v>38808</v>
      </c>
      <c r="B144" s="128" t="e">
        <f>Dados!Q23</f>
        <v>#N/A</v>
      </c>
      <c r="C144" s="108" t="e">
        <f t="shared" si="32"/>
        <v>#N/A</v>
      </c>
      <c r="D144" s="114">
        <f t="shared" si="36"/>
        <v>0</v>
      </c>
      <c r="E144" s="128" t="e">
        <f>Dados!Q63</f>
        <v>#N/A</v>
      </c>
      <c r="F144" s="108" t="e">
        <f t="shared" si="37"/>
        <v>#N/A</v>
      </c>
      <c r="G144" s="114">
        <f t="shared" si="38"/>
        <v>0</v>
      </c>
      <c r="H144" s="110">
        <v>144</v>
      </c>
      <c r="I144" s="115">
        <v>0.0017</v>
      </c>
      <c r="J144" s="116">
        <v>0.0012</v>
      </c>
      <c r="K144" s="115">
        <v>0.000855</v>
      </c>
      <c r="L144" s="116">
        <v>0.0002</v>
      </c>
      <c r="M144" s="117">
        <v>0.0108</v>
      </c>
      <c r="N144" s="118">
        <f>IF(A144&gt;Dados!$C$16,0,IF(A144=Dados!$C$16,1,SUMIF($A$3:$A$500,CONCATENATE("&gt;",TEXT(DATEVALUE(TEXT(A144,"dd/mm/aaaa")),0)),$M$3:$M$500)-SUMIF($A$3:$A$500,CONCATENATE("&gt;",TEXT(Dados!$C$16-1,0)),$M$3:$M$500)+1%))</f>
        <v>0</v>
      </c>
      <c r="O144" s="119">
        <v>0.005</v>
      </c>
      <c r="P144" s="120">
        <f t="shared" si="33"/>
        <v>0.781042</v>
      </c>
      <c r="Q144" s="119">
        <v>0.01</v>
      </c>
      <c r="R144" s="120">
        <f t="shared" si="34"/>
        <v>0.971042</v>
      </c>
      <c r="S144" s="119">
        <v>0.005</v>
      </c>
      <c r="T144" s="120">
        <f t="shared" si="35"/>
        <v>0.781042</v>
      </c>
      <c r="AG144" s="121">
        <f t="shared" si="39"/>
        <v>38808</v>
      </c>
      <c r="AH144" s="121">
        <f t="shared" si="40"/>
        <v>38808</v>
      </c>
      <c r="AI144" s="121">
        <f t="shared" si="41"/>
        <v>38808</v>
      </c>
      <c r="AJ144" s="121">
        <f t="shared" si="42"/>
        <v>38808</v>
      </c>
      <c r="AK144" s="121">
        <f t="shared" si="43"/>
        <v>38808</v>
      </c>
    </row>
    <row r="145" spans="1:37" ht="15">
      <c r="A145" s="113">
        <v>38838</v>
      </c>
      <c r="B145" s="113" t="e">
        <f>B144</f>
        <v>#N/A</v>
      </c>
      <c r="C145" s="108" t="e">
        <f t="shared" si="32"/>
        <v>#N/A</v>
      </c>
      <c r="D145" s="114">
        <f t="shared" si="36"/>
        <v>0</v>
      </c>
      <c r="E145" s="114" t="e">
        <f>E144</f>
        <v>#N/A</v>
      </c>
      <c r="F145" s="108" t="e">
        <f t="shared" si="37"/>
        <v>#N/A</v>
      </c>
      <c r="G145" s="114">
        <f t="shared" si="38"/>
        <v>0</v>
      </c>
      <c r="H145" s="110">
        <v>145</v>
      </c>
      <c r="I145" s="115">
        <v>0.0027</v>
      </c>
      <c r="J145" s="116">
        <v>0.0013</v>
      </c>
      <c r="K145" s="115">
        <v>0.001888</v>
      </c>
      <c r="L145" s="116">
        <v>0.0038</v>
      </c>
      <c r="M145" s="117">
        <v>0.0128</v>
      </c>
      <c r="N145" s="118">
        <f>IF(A145&gt;Dados!$C$16,0,IF(A145=Dados!$C$16,1,SUMIF($A$3:$A$500,CONCATENATE("&gt;",TEXT(DATEVALUE(TEXT(A145,"dd/mm/aaaa")),0)),$M$3:$M$500)-SUMIF($A$3:$A$500,CONCATENATE("&gt;",TEXT(Dados!$C$16-1,0)),$M$3:$M$500)+1%))</f>
        <v>0</v>
      </c>
      <c r="O145" s="119">
        <v>0.005</v>
      </c>
      <c r="P145" s="120">
        <f t="shared" si="33"/>
        <v>0.776042</v>
      </c>
      <c r="Q145" s="119">
        <v>0.01</v>
      </c>
      <c r="R145" s="120">
        <f t="shared" si="34"/>
        <v>0.961042</v>
      </c>
      <c r="S145" s="119">
        <v>0.005</v>
      </c>
      <c r="T145" s="120">
        <f t="shared" si="35"/>
        <v>0.776042</v>
      </c>
      <c r="AG145" s="121">
        <f t="shared" si="39"/>
        <v>38838</v>
      </c>
      <c r="AH145" s="121">
        <f t="shared" si="40"/>
        <v>38838</v>
      </c>
      <c r="AI145" s="121">
        <f t="shared" si="41"/>
        <v>38838</v>
      </c>
      <c r="AJ145" s="121">
        <f t="shared" si="42"/>
        <v>38838</v>
      </c>
      <c r="AK145" s="121">
        <f t="shared" si="43"/>
        <v>38838</v>
      </c>
    </row>
    <row r="146" spans="1:37" ht="15">
      <c r="A146" s="113">
        <v>38869</v>
      </c>
      <c r="B146" s="113" t="e">
        <f>B145</f>
        <v>#N/A</v>
      </c>
      <c r="C146" s="108" t="e">
        <f t="shared" si="32"/>
        <v>#N/A</v>
      </c>
      <c r="D146" s="114">
        <f t="shared" si="36"/>
        <v>0</v>
      </c>
      <c r="E146" s="114" t="e">
        <f>E145</f>
        <v>#N/A</v>
      </c>
      <c r="F146" s="108" t="e">
        <f t="shared" si="37"/>
        <v>#N/A</v>
      </c>
      <c r="G146" s="114">
        <f t="shared" si="38"/>
        <v>0</v>
      </c>
      <c r="H146" s="110">
        <v>146</v>
      </c>
      <c r="I146" s="115">
        <v>-0.0015</v>
      </c>
      <c r="J146" s="116">
        <v>-0.0007</v>
      </c>
      <c r="K146" s="115">
        <v>0.001937</v>
      </c>
      <c r="L146" s="116">
        <v>0.0067</v>
      </c>
      <c r="M146" s="117">
        <v>0.0118</v>
      </c>
      <c r="N146" s="118">
        <f>IF(A146&gt;Dados!$C$16,0,IF(A146=Dados!$C$16,1,SUMIF($A$3:$A$500,CONCATENATE("&gt;",TEXT(DATEVALUE(TEXT(A146,"dd/mm/aaaa")),0)),$M$3:$M$500)-SUMIF($A$3:$A$500,CONCATENATE("&gt;",TEXT(Dados!$C$16-1,0)),$M$3:$M$500)+1%))</f>
        <v>0</v>
      </c>
      <c r="O146" s="119">
        <v>0.005</v>
      </c>
      <c r="P146" s="120">
        <f t="shared" si="33"/>
        <v>0.771042</v>
      </c>
      <c r="Q146" s="119">
        <v>0.01</v>
      </c>
      <c r="R146" s="120">
        <f t="shared" si="34"/>
        <v>0.951042</v>
      </c>
      <c r="S146" s="119">
        <v>0.005</v>
      </c>
      <c r="T146" s="120">
        <f t="shared" si="35"/>
        <v>0.771042</v>
      </c>
      <c r="AG146" s="121">
        <f t="shared" si="39"/>
        <v>38869</v>
      </c>
      <c r="AH146" s="121">
        <f t="shared" si="40"/>
        <v>38869</v>
      </c>
      <c r="AI146" s="121">
        <f t="shared" si="41"/>
        <v>38869</v>
      </c>
      <c r="AJ146" s="121">
        <f t="shared" si="42"/>
        <v>38869</v>
      </c>
      <c r="AK146" s="121">
        <f t="shared" si="43"/>
        <v>38869</v>
      </c>
    </row>
    <row r="147" spans="1:37" ht="15">
      <c r="A147" s="113">
        <v>38899</v>
      </c>
      <c r="B147" s="113" t="e">
        <f>B146</f>
        <v>#N/A</v>
      </c>
      <c r="C147" s="108" t="e">
        <f t="shared" si="32"/>
        <v>#N/A</v>
      </c>
      <c r="D147" s="114">
        <f t="shared" si="36"/>
        <v>0</v>
      </c>
      <c r="E147" s="114" t="e">
        <f>E146</f>
        <v>#N/A</v>
      </c>
      <c r="F147" s="108" t="e">
        <f t="shared" si="37"/>
        <v>#N/A</v>
      </c>
      <c r="G147" s="114">
        <f t="shared" si="38"/>
        <v>0</v>
      </c>
      <c r="H147" s="110">
        <v>147</v>
      </c>
      <c r="I147" s="115">
        <v>-0.0002</v>
      </c>
      <c r="J147" s="116">
        <v>0.0011</v>
      </c>
      <c r="K147" s="115">
        <v>0.001751</v>
      </c>
      <c r="L147" s="116">
        <v>0.0017</v>
      </c>
      <c r="M147" s="117">
        <v>0.0117</v>
      </c>
      <c r="N147" s="118">
        <f>IF(A147&gt;Dados!$C$16,0,IF(A147=Dados!$C$16,1,SUMIF($A$3:$A$500,CONCATENATE("&gt;",TEXT(DATEVALUE(TEXT(A147,"dd/mm/aaaa")),0)),$M$3:$M$500)-SUMIF($A$3:$A$500,CONCATENATE("&gt;",TEXT(Dados!$C$16-1,0)),$M$3:$M$500)+1%))</f>
        <v>0</v>
      </c>
      <c r="O147" s="119">
        <v>0.005</v>
      </c>
      <c r="P147" s="120">
        <f t="shared" si="33"/>
        <v>0.766042</v>
      </c>
      <c r="Q147" s="119">
        <v>0.01</v>
      </c>
      <c r="R147" s="120">
        <f t="shared" si="34"/>
        <v>0.941042</v>
      </c>
      <c r="S147" s="119">
        <v>0.005</v>
      </c>
      <c r="T147" s="120">
        <f t="shared" si="35"/>
        <v>0.766042</v>
      </c>
      <c r="AG147" s="121">
        <f t="shared" si="39"/>
        <v>38899</v>
      </c>
      <c r="AH147" s="121">
        <f t="shared" si="40"/>
        <v>38899</v>
      </c>
      <c r="AI147" s="121">
        <f t="shared" si="41"/>
        <v>38899</v>
      </c>
      <c r="AJ147" s="121">
        <f t="shared" si="42"/>
        <v>38899</v>
      </c>
      <c r="AK147" s="121">
        <f t="shared" si="43"/>
        <v>38899</v>
      </c>
    </row>
    <row r="148" spans="1:37" ht="15">
      <c r="A148" s="113">
        <v>38930</v>
      </c>
      <c r="B148" s="129" t="e">
        <f>Dados!R23</f>
        <v>#N/A</v>
      </c>
      <c r="C148" s="108" t="e">
        <f t="shared" si="32"/>
        <v>#N/A</v>
      </c>
      <c r="D148" s="114">
        <f t="shared" si="36"/>
        <v>0</v>
      </c>
      <c r="E148" s="129" t="e">
        <f>Dados!R63</f>
        <v>#N/A</v>
      </c>
      <c r="F148" s="108" t="e">
        <f t="shared" si="37"/>
        <v>#N/A</v>
      </c>
      <c r="G148" s="114">
        <f t="shared" si="38"/>
        <v>0</v>
      </c>
      <c r="H148" s="110">
        <v>148</v>
      </c>
      <c r="I148" s="115">
        <v>0.0019</v>
      </c>
      <c r="J148" s="116">
        <v>-0.0002</v>
      </c>
      <c r="K148" s="115">
        <v>0.002436</v>
      </c>
      <c r="L148" s="116">
        <v>0.0041</v>
      </c>
      <c r="M148" s="117">
        <v>0.0126</v>
      </c>
      <c r="N148" s="118">
        <f>IF(A148&gt;Dados!$C$16,0,IF(A148=Dados!$C$16,1,SUMIF($A$3:$A$500,CONCATENATE("&gt;",TEXT(DATEVALUE(TEXT(A148,"dd/mm/aaaa")),0)),$M$3:$M$500)-SUMIF($A$3:$A$500,CONCATENATE("&gt;",TEXT(Dados!$C$16-1,0)),$M$3:$M$500)+1%))</f>
        <v>0</v>
      </c>
      <c r="O148" s="119">
        <v>0.005</v>
      </c>
      <c r="P148" s="120">
        <f t="shared" si="33"/>
        <v>0.761042</v>
      </c>
      <c r="Q148" s="119">
        <v>0.01</v>
      </c>
      <c r="R148" s="120">
        <f t="shared" si="34"/>
        <v>0.931042</v>
      </c>
      <c r="S148" s="119">
        <v>0.005</v>
      </c>
      <c r="T148" s="120">
        <f t="shared" si="35"/>
        <v>0.761042</v>
      </c>
      <c r="AG148" s="121">
        <f t="shared" si="39"/>
        <v>38930</v>
      </c>
      <c r="AH148" s="121">
        <f t="shared" si="40"/>
        <v>38930</v>
      </c>
      <c r="AI148" s="121">
        <f t="shared" si="41"/>
        <v>38930</v>
      </c>
      <c r="AJ148" s="121">
        <f t="shared" si="42"/>
        <v>38930</v>
      </c>
      <c r="AK148" s="121">
        <f t="shared" si="43"/>
        <v>38930</v>
      </c>
    </row>
    <row r="149" spans="1:37" ht="15">
      <c r="A149" s="129">
        <v>38961</v>
      </c>
      <c r="B149" s="129" t="e">
        <f>B148</f>
        <v>#N/A</v>
      </c>
      <c r="C149" s="108" t="e">
        <f t="shared" si="32"/>
        <v>#N/A</v>
      </c>
      <c r="D149" s="114">
        <f t="shared" si="36"/>
        <v>0</v>
      </c>
      <c r="E149" s="114" t="e">
        <f>E148</f>
        <v>#N/A</v>
      </c>
      <c r="F149" s="108" t="e">
        <f t="shared" si="37"/>
        <v>#N/A</v>
      </c>
      <c r="G149" s="114">
        <f t="shared" si="38"/>
        <v>0</v>
      </c>
      <c r="H149" s="110">
        <v>149</v>
      </c>
      <c r="I149" s="115">
        <v>0.0005</v>
      </c>
      <c r="J149" s="116">
        <v>0.0016</v>
      </c>
      <c r="K149" s="115">
        <v>0.001521</v>
      </c>
      <c r="L149" s="116">
        <v>0.0024</v>
      </c>
      <c r="M149" s="117">
        <v>0.0106</v>
      </c>
      <c r="N149" s="118">
        <f>IF(A149&gt;Dados!$C$16,0,IF(A149=Dados!$C$16,1,SUMIF($A$3:$A$500,CONCATENATE("&gt;",TEXT(DATEVALUE(TEXT(A149,"dd/mm/aaaa")),0)),$M$3:$M$500)-SUMIF($A$3:$A$500,CONCATENATE("&gt;",TEXT(Dados!$C$16-1,0)),$M$3:$M$500)+1%))</f>
        <v>0</v>
      </c>
      <c r="O149" s="119">
        <v>0.005</v>
      </c>
      <c r="P149" s="120">
        <f t="shared" si="33"/>
        <v>0.756042</v>
      </c>
      <c r="Q149" s="119">
        <v>0.01</v>
      </c>
      <c r="R149" s="120">
        <f t="shared" si="34"/>
        <v>0.921042</v>
      </c>
      <c r="S149" s="119">
        <v>0.005</v>
      </c>
      <c r="T149" s="120">
        <f t="shared" si="35"/>
        <v>0.756042</v>
      </c>
      <c r="AG149" s="121">
        <f t="shared" si="39"/>
        <v>38961</v>
      </c>
      <c r="AH149" s="121">
        <f t="shared" si="40"/>
        <v>38961</v>
      </c>
      <c r="AI149" s="121">
        <f t="shared" si="41"/>
        <v>38961</v>
      </c>
      <c r="AJ149" s="121">
        <f t="shared" si="42"/>
        <v>38961</v>
      </c>
      <c r="AK149" s="121">
        <f t="shared" si="43"/>
        <v>38961</v>
      </c>
    </row>
    <row r="150" spans="1:37" ht="15">
      <c r="A150" s="113">
        <v>38991</v>
      </c>
      <c r="B150" s="113" t="e">
        <f>B149</f>
        <v>#N/A</v>
      </c>
      <c r="C150" s="108" t="e">
        <f t="shared" si="32"/>
        <v>#N/A</v>
      </c>
      <c r="D150" s="114">
        <f t="shared" si="36"/>
        <v>0</v>
      </c>
      <c r="E150" s="114" t="e">
        <f aca="true" t="shared" si="44" ref="E150:E181">E149</f>
        <v>#N/A</v>
      </c>
      <c r="F150" s="108" t="e">
        <f t="shared" si="37"/>
        <v>#N/A</v>
      </c>
      <c r="G150" s="114">
        <f t="shared" si="38"/>
        <v>0</v>
      </c>
      <c r="H150" s="110">
        <v>150</v>
      </c>
      <c r="I150" s="115">
        <v>0.0029</v>
      </c>
      <c r="J150" s="116">
        <v>0.0043</v>
      </c>
      <c r="K150" s="115">
        <v>0.001875</v>
      </c>
      <c r="L150" s="116">
        <v>0.0081</v>
      </c>
      <c r="M150" s="117">
        <v>0.0109</v>
      </c>
      <c r="N150" s="118">
        <f>IF(A150&gt;Dados!$C$16,0,IF(A150=Dados!$C$16,1,SUMIF($A$3:$A$500,CONCATENATE("&gt;",TEXT(DATEVALUE(TEXT(A150,"dd/mm/aaaa")),0)),$M$3:$M$500)-SUMIF($A$3:$A$500,CONCATENATE("&gt;",TEXT(Dados!$C$16-1,0)),$M$3:$M$500)+1%))</f>
        <v>0</v>
      </c>
      <c r="O150" s="119">
        <v>0.005</v>
      </c>
      <c r="P150" s="120">
        <f t="shared" si="33"/>
        <v>0.751042</v>
      </c>
      <c r="Q150" s="119">
        <v>0.01</v>
      </c>
      <c r="R150" s="120">
        <f t="shared" si="34"/>
        <v>0.911042</v>
      </c>
      <c r="S150" s="119">
        <v>0.005</v>
      </c>
      <c r="T150" s="120">
        <f t="shared" si="35"/>
        <v>0.751042</v>
      </c>
      <c r="AG150" s="121">
        <f t="shared" si="39"/>
        <v>38991</v>
      </c>
      <c r="AH150" s="121">
        <f t="shared" si="40"/>
        <v>38991</v>
      </c>
      <c r="AI150" s="121">
        <f t="shared" si="41"/>
        <v>38991</v>
      </c>
      <c r="AJ150" s="121">
        <f t="shared" si="42"/>
        <v>38991</v>
      </c>
      <c r="AK150" s="121">
        <f t="shared" si="43"/>
        <v>38991</v>
      </c>
    </row>
    <row r="151" spans="1:37" ht="15">
      <c r="A151" s="113">
        <v>39022</v>
      </c>
      <c r="B151" s="113" t="e">
        <f aca="true" t="shared" si="45" ref="B151:B181">B150</f>
        <v>#N/A</v>
      </c>
      <c r="C151" s="108" t="e">
        <f t="shared" si="32"/>
        <v>#N/A</v>
      </c>
      <c r="D151" s="114">
        <f t="shared" si="36"/>
        <v>0</v>
      </c>
      <c r="E151" s="114" t="e">
        <f t="shared" si="44"/>
        <v>#N/A</v>
      </c>
      <c r="F151" s="108" t="e">
        <f t="shared" si="37"/>
        <v>#N/A</v>
      </c>
      <c r="G151" s="114">
        <f t="shared" si="38"/>
        <v>0</v>
      </c>
      <c r="H151" s="110">
        <v>151</v>
      </c>
      <c r="I151" s="115">
        <v>0.0037</v>
      </c>
      <c r="J151" s="116">
        <v>0.0042</v>
      </c>
      <c r="K151" s="115">
        <v>0.001282</v>
      </c>
      <c r="L151" s="116">
        <v>0.0057</v>
      </c>
      <c r="M151" s="117">
        <v>0.0102</v>
      </c>
      <c r="N151" s="118">
        <f>IF(A151&gt;Dados!$C$16,0,IF(A151=Dados!$C$16,1,SUMIF($A$3:$A$500,CONCATENATE("&gt;",TEXT(DATEVALUE(TEXT(A151,"dd/mm/aaaa")),0)),$M$3:$M$500)-SUMIF($A$3:$A$500,CONCATENATE("&gt;",TEXT(Dados!$C$16-1,0)),$M$3:$M$500)+1%))</f>
        <v>0</v>
      </c>
      <c r="O151" s="119">
        <v>0.005</v>
      </c>
      <c r="P151" s="120">
        <f t="shared" si="33"/>
        <v>0.746042</v>
      </c>
      <c r="Q151" s="119">
        <v>0.01</v>
      </c>
      <c r="R151" s="120">
        <f t="shared" si="34"/>
        <v>0.901042</v>
      </c>
      <c r="S151" s="119">
        <v>0.005</v>
      </c>
      <c r="T151" s="120">
        <f t="shared" si="35"/>
        <v>0.746042</v>
      </c>
      <c r="AG151" s="121">
        <f t="shared" si="39"/>
        <v>39022</v>
      </c>
      <c r="AH151" s="121">
        <f t="shared" si="40"/>
        <v>39022</v>
      </c>
      <c r="AI151" s="121">
        <f t="shared" si="41"/>
        <v>39022</v>
      </c>
      <c r="AJ151" s="121">
        <f t="shared" si="42"/>
        <v>39022</v>
      </c>
      <c r="AK151" s="121">
        <f t="shared" si="43"/>
        <v>39022</v>
      </c>
    </row>
    <row r="152" spans="1:37" ht="15">
      <c r="A152" s="113">
        <v>39052</v>
      </c>
      <c r="B152" s="113" t="e">
        <f t="shared" si="45"/>
        <v>#N/A</v>
      </c>
      <c r="C152" s="108" t="e">
        <f t="shared" si="32"/>
        <v>#N/A</v>
      </c>
      <c r="D152" s="114">
        <f t="shared" si="36"/>
        <v>0</v>
      </c>
      <c r="E152" s="114" t="e">
        <f t="shared" si="44"/>
        <v>#N/A</v>
      </c>
      <c r="F152" s="108" t="e">
        <f t="shared" si="37"/>
        <v>#N/A</v>
      </c>
      <c r="G152" s="114">
        <f t="shared" si="38"/>
        <v>0</v>
      </c>
      <c r="H152" s="110">
        <v>152</v>
      </c>
      <c r="I152" s="115">
        <v>0.0035</v>
      </c>
      <c r="J152" s="116">
        <v>0.0062</v>
      </c>
      <c r="K152" s="115">
        <v>0.001522</v>
      </c>
      <c r="L152" s="116">
        <v>0.0026</v>
      </c>
      <c r="M152" s="117">
        <v>0.0099</v>
      </c>
      <c r="N152" s="118">
        <f>IF(A152&gt;Dados!$C$16,0,IF(A152=Dados!$C$16,1,SUMIF($A$3:$A$500,CONCATENATE("&gt;",TEXT(DATEVALUE(TEXT(A152,"dd/mm/aaaa")),0)),$M$3:$M$500)-SUMIF($A$3:$A$500,CONCATENATE("&gt;",TEXT(Dados!$C$16-1,0)),$M$3:$M$500)+1%))</f>
        <v>0</v>
      </c>
      <c r="O152" s="119">
        <v>0.005</v>
      </c>
      <c r="P152" s="120">
        <f t="shared" si="33"/>
        <v>0.741042</v>
      </c>
      <c r="Q152" s="119">
        <v>0.01</v>
      </c>
      <c r="R152" s="120">
        <f t="shared" si="34"/>
        <v>0.891042</v>
      </c>
      <c r="S152" s="119">
        <v>0.005</v>
      </c>
      <c r="T152" s="120">
        <f t="shared" si="35"/>
        <v>0.741042</v>
      </c>
      <c r="AG152" s="121">
        <f t="shared" si="39"/>
        <v>39052</v>
      </c>
      <c r="AH152" s="121">
        <f t="shared" si="40"/>
        <v>39052</v>
      </c>
      <c r="AI152" s="121">
        <f t="shared" si="41"/>
        <v>39052</v>
      </c>
      <c r="AJ152" s="121">
        <f t="shared" si="42"/>
        <v>39052</v>
      </c>
      <c r="AK152" s="121">
        <f t="shared" si="43"/>
        <v>39052</v>
      </c>
    </row>
    <row r="153" spans="1:37" ht="15">
      <c r="A153" s="113">
        <v>39083</v>
      </c>
      <c r="B153" s="113" t="e">
        <f t="shared" si="45"/>
        <v>#N/A</v>
      </c>
      <c r="C153" s="108" t="e">
        <f t="shared" si="32"/>
        <v>#N/A</v>
      </c>
      <c r="D153" s="114">
        <f t="shared" si="36"/>
        <v>0</v>
      </c>
      <c r="E153" s="114" t="e">
        <f t="shared" si="44"/>
        <v>#N/A</v>
      </c>
      <c r="F153" s="108" t="e">
        <f t="shared" si="37"/>
        <v>#N/A</v>
      </c>
      <c r="G153" s="114">
        <f t="shared" si="38"/>
        <v>0</v>
      </c>
      <c r="H153" s="110">
        <v>153</v>
      </c>
      <c r="I153" s="115">
        <v>0.0052</v>
      </c>
      <c r="J153" s="116">
        <v>0.0049</v>
      </c>
      <c r="K153" s="115">
        <v>0.002189</v>
      </c>
      <c r="L153" s="116">
        <v>0.0043</v>
      </c>
      <c r="M153" s="117">
        <v>0.0108</v>
      </c>
      <c r="N153" s="118">
        <f>IF(A153&gt;Dados!$C$16,0,IF(A153=Dados!$C$16,1,SUMIF($A$3:$A$500,CONCATENATE("&gt;",TEXT(DATEVALUE(TEXT(A153,"dd/mm/aaaa")),0)),$M$3:$M$500)-SUMIF($A$3:$A$500,CONCATENATE("&gt;",TEXT(Dados!$C$16-1,0)),$M$3:$M$500)+1%))</f>
        <v>0</v>
      </c>
      <c r="O153" s="119">
        <v>0.005</v>
      </c>
      <c r="P153" s="120">
        <f t="shared" si="33"/>
        <v>0.736042</v>
      </c>
      <c r="Q153" s="119">
        <v>0.01</v>
      </c>
      <c r="R153" s="120">
        <f t="shared" si="34"/>
        <v>0.881042</v>
      </c>
      <c r="S153" s="119">
        <v>0.005</v>
      </c>
      <c r="T153" s="120">
        <f t="shared" si="35"/>
        <v>0.736042</v>
      </c>
      <c r="AG153" s="121">
        <f t="shared" si="39"/>
        <v>39083</v>
      </c>
      <c r="AH153" s="121">
        <f t="shared" si="40"/>
        <v>39083</v>
      </c>
      <c r="AI153" s="121">
        <f t="shared" si="41"/>
        <v>39083</v>
      </c>
      <c r="AJ153" s="121">
        <f t="shared" si="42"/>
        <v>39083</v>
      </c>
      <c r="AK153" s="121">
        <f t="shared" si="43"/>
        <v>39083</v>
      </c>
    </row>
    <row r="154" spans="1:37" ht="15">
      <c r="A154" s="113">
        <v>39114</v>
      </c>
      <c r="B154" s="113" t="e">
        <f t="shared" si="45"/>
        <v>#N/A</v>
      </c>
      <c r="C154" s="108" t="e">
        <f t="shared" si="32"/>
        <v>#N/A</v>
      </c>
      <c r="D154" s="114">
        <f t="shared" si="36"/>
        <v>0</v>
      </c>
      <c r="E154" s="114" t="e">
        <f t="shared" si="44"/>
        <v>#N/A</v>
      </c>
      <c r="F154" s="108" t="e">
        <f t="shared" si="37"/>
        <v>#N/A</v>
      </c>
      <c r="G154" s="114">
        <f t="shared" si="38"/>
        <v>0</v>
      </c>
      <c r="H154" s="110">
        <v>154</v>
      </c>
      <c r="I154" s="115">
        <v>0.0046</v>
      </c>
      <c r="J154" s="116">
        <v>0.0042</v>
      </c>
      <c r="K154" s="115">
        <v>0.000721</v>
      </c>
      <c r="L154" s="116">
        <v>0.0023</v>
      </c>
      <c r="M154" s="117">
        <v>0.0087</v>
      </c>
      <c r="N154" s="118">
        <f>IF(A154&gt;Dados!$C$16,0,IF(A154=Dados!$C$16,1,SUMIF($A$3:$A$500,CONCATENATE("&gt;",TEXT(DATEVALUE(TEXT(A154,"dd/mm/aaaa")),0)),$M$3:$M$500)-SUMIF($A$3:$A$500,CONCATENATE("&gt;",TEXT(Dados!$C$16-1,0)),$M$3:$M$500)+1%))</f>
        <v>0</v>
      </c>
      <c r="O154" s="119">
        <v>0.005</v>
      </c>
      <c r="P154" s="120">
        <f t="shared" si="33"/>
        <v>0.731042</v>
      </c>
      <c r="Q154" s="119">
        <v>0.01</v>
      </c>
      <c r="R154" s="120">
        <f t="shared" si="34"/>
        <v>0.871042</v>
      </c>
      <c r="S154" s="119">
        <v>0.005</v>
      </c>
      <c r="T154" s="120">
        <f t="shared" si="35"/>
        <v>0.731042</v>
      </c>
      <c r="AG154" s="121">
        <f t="shared" si="39"/>
        <v>39114</v>
      </c>
      <c r="AH154" s="121">
        <f t="shared" si="40"/>
        <v>39114</v>
      </c>
      <c r="AI154" s="121">
        <f t="shared" si="41"/>
        <v>39114</v>
      </c>
      <c r="AJ154" s="121">
        <f t="shared" si="42"/>
        <v>39114</v>
      </c>
      <c r="AK154" s="121">
        <f t="shared" si="43"/>
        <v>39114</v>
      </c>
    </row>
    <row r="155" spans="1:37" ht="15">
      <c r="A155" s="113">
        <v>39142</v>
      </c>
      <c r="B155" s="113" t="e">
        <f t="shared" si="45"/>
        <v>#N/A</v>
      </c>
      <c r="C155" s="108" t="e">
        <f t="shared" si="32"/>
        <v>#N/A</v>
      </c>
      <c r="D155" s="114">
        <f t="shared" si="36"/>
        <v>0</v>
      </c>
      <c r="E155" s="114" t="e">
        <f t="shared" si="44"/>
        <v>#N/A</v>
      </c>
      <c r="F155" s="108" t="e">
        <f t="shared" si="37"/>
        <v>#N/A</v>
      </c>
      <c r="G155" s="114">
        <f t="shared" si="38"/>
        <v>0</v>
      </c>
      <c r="H155" s="110">
        <v>155</v>
      </c>
      <c r="I155" s="115">
        <v>0.0041</v>
      </c>
      <c r="J155" s="116">
        <v>0.0044</v>
      </c>
      <c r="K155" s="115">
        <v>0.001876</v>
      </c>
      <c r="L155" s="116">
        <v>0.0022</v>
      </c>
      <c r="M155" s="117">
        <v>0.0105</v>
      </c>
      <c r="N155" s="118">
        <f>IF(A155&gt;Dados!$C$16,0,IF(A155=Dados!$C$16,1,SUMIF($A$3:$A$500,CONCATENATE("&gt;",TEXT(DATEVALUE(TEXT(A155,"dd/mm/aaaa")),0)),$M$3:$M$500)-SUMIF($A$3:$A$500,CONCATENATE("&gt;",TEXT(Dados!$C$16-1,0)),$M$3:$M$500)+1%))</f>
        <v>0</v>
      </c>
      <c r="O155" s="119">
        <v>0.005</v>
      </c>
      <c r="P155" s="120">
        <f t="shared" si="33"/>
        <v>0.726042</v>
      </c>
      <c r="Q155" s="119">
        <v>0.01</v>
      </c>
      <c r="R155" s="120">
        <f t="shared" si="34"/>
        <v>0.861042</v>
      </c>
      <c r="S155" s="119">
        <v>0.005</v>
      </c>
      <c r="T155" s="120">
        <f t="shared" si="35"/>
        <v>0.726042</v>
      </c>
      <c r="AG155" s="121">
        <f t="shared" si="39"/>
        <v>39142</v>
      </c>
      <c r="AH155" s="121">
        <f t="shared" si="40"/>
        <v>39142</v>
      </c>
      <c r="AI155" s="121">
        <f t="shared" si="41"/>
        <v>39142</v>
      </c>
      <c r="AJ155" s="121">
        <f t="shared" si="42"/>
        <v>39142</v>
      </c>
      <c r="AK155" s="121">
        <f t="shared" si="43"/>
        <v>39142</v>
      </c>
    </row>
    <row r="156" spans="1:37" ht="15">
      <c r="A156" s="113">
        <v>39173</v>
      </c>
      <c r="B156" s="113" t="e">
        <f t="shared" si="45"/>
        <v>#N/A</v>
      </c>
      <c r="C156" s="108" t="e">
        <f t="shared" si="32"/>
        <v>#N/A</v>
      </c>
      <c r="D156" s="114">
        <f t="shared" si="36"/>
        <v>0</v>
      </c>
      <c r="E156" s="114" t="e">
        <f t="shared" si="44"/>
        <v>#N/A</v>
      </c>
      <c r="F156" s="108" t="e">
        <f t="shared" si="37"/>
        <v>#N/A</v>
      </c>
      <c r="G156" s="114">
        <f t="shared" si="38"/>
        <v>0</v>
      </c>
      <c r="H156" s="110">
        <v>156</v>
      </c>
      <c r="I156" s="115">
        <v>0.0022</v>
      </c>
      <c r="J156" s="116">
        <v>0.0026</v>
      </c>
      <c r="K156" s="115">
        <v>0.001272</v>
      </c>
      <c r="L156" s="116">
        <v>0.0014</v>
      </c>
      <c r="M156" s="117">
        <v>0.0094</v>
      </c>
      <c r="N156" s="118">
        <f>IF(A156&gt;Dados!$C$16,0,IF(A156=Dados!$C$16,1,SUMIF($A$3:$A$500,CONCATENATE("&gt;",TEXT(DATEVALUE(TEXT(A156,"dd/mm/aaaa")),0)),$M$3:$M$500)-SUMIF($A$3:$A$500,CONCATENATE("&gt;",TEXT(Dados!$C$16-1,0)),$M$3:$M$500)+1%))</f>
        <v>0</v>
      </c>
      <c r="O156" s="119">
        <v>0.005</v>
      </c>
      <c r="P156" s="120">
        <f t="shared" si="33"/>
        <v>0.721042</v>
      </c>
      <c r="Q156" s="119">
        <v>0.01</v>
      </c>
      <c r="R156" s="120">
        <f t="shared" si="34"/>
        <v>0.851042</v>
      </c>
      <c r="S156" s="119">
        <v>0.005</v>
      </c>
      <c r="T156" s="120">
        <f t="shared" si="35"/>
        <v>0.721042</v>
      </c>
      <c r="AG156" s="121">
        <f t="shared" si="39"/>
        <v>39173</v>
      </c>
      <c r="AH156" s="121">
        <f t="shared" si="40"/>
        <v>39173</v>
      </c>
      <c r="AI156" s="121">
        <f t="shared" si="41"/>
        <v>39173</v>
      </c>
      <c r="AJ156" s="121">
        <f t="shared" si="42"/>
        <v>39173</v>
      </c>
      <c r="AK156" s="121">
        <f t="shared" si="43"/>
        <v>39173</v>
      </c>
    </row>
    <row r="157" spans="1:37" ht="15">
      <c r="A157" s="113">
        <v>39203</v>
      </c>
      <c r="B157" s="113" t="e">
        <f t="shared" si="45"/>
        <v>#N/A</v>
      </c>
      <c r="C157" s="108" t="e">
        <f t="shared" si="32"/>
        <v>#N/A</v>
      </c>
      <c r="D157" s="114">
        <f t="shared" si="36"/>
        <v>0</v>
      </c>
      <c r="E157" s="114" t="e">
        <f t="shared" si="44"/>
        <v>#N/A</v>
      </c>
      <c r="F157" s="108" t="e">
        <f t="shared" si="37"/>
        <v>#N/A</v>
      </c>
      <c r="G157" s="114">
        <f t="shared" si="38"/>
        <v>0</v>
      </c>
      <c r="H157" s="110">
        <v>157</v>
      </c>
      <c r="I157" s="115">
        <v>0.0026</v>
      </c>
      <c r="J157" s="116">
        <v>0.0026</v>
      </c>
      <c r="K157" s="115">
        <v>0.001689</v>
      </c>
      <c r="L157" s="116">
        <v>0.0016</v>
      </c>
      <c r="M157" s="117">
        <v>0.0103</v>
      </c>
      <c r="N157" s="118">
        <f>IF(A157&gt;Dados!$C$16,0,IF(A157=Dados!$C$16,1,SUMIF($A$3:$A$500,CONCATENATE("&gt;",TEXT(DATEVALUE(TEXT(A157,"dd/mm/aaaa")),0)),$M$3:$M$500)-SUMIF($A$3:$A$500,CONCATENATE("&gt;",TEXT(Dados!$C$16-1,0)),$M$3:$M$500)+1%))</f>
        <v>0</v>
      </c>
      <c r="O157" s="119">
        <v>0.005</v>
      </c>
      <c r="P157" s="120">
        <f t="shared" si="33"/>
        <v>0.716042</v>
      </c>
      <c r="Q157" s="119">
        <v>0.01</v>
      </c>
      <c r="R157" s="120">
        <f t="shared" si="34"/>
        <v>0.841042</v>
      </c>
      <c r="S157" s="119">
        <v>0.005</v>
      </c>
      <c r="T157" s="120">
        <f t="shared" si="35"/>
        <v>0.716042</v>
      </c>
      <c r="AG157" s="121">
        <f t="shared" si="39"/>
        <v>39203</v>
      </c>
      <c r="AH157" s="121">
        <f t="shared" si="40"/>
        <v>39203</v>
      </c>
      <c r="AI157" s="121">
        <f t="shared" si="41"/>
        <v>39203</v>
      </c>
      <c r="AJ157" s="121">
        <f t="shared" si="42"/>
        <v>39203</v>
      </c>
      <c r="AK157" s="121">
        <f t="shared" si="43"/>
        <v>39203</v>
      </c>
    </row>
    <row r="158" spans="1:37" ht="15">
      <c r="A158" s="113">
        <v>39234</v>
      </c>
      <c r="B158" s="113" t="e">
        <f t="shared" si="45"/>
        <v>#N/A</v>
      </c>
      <c r="C158" s="108" t="e">
        <f t="shared" si="32"/>
        <v>#N/A</v>
      </c>
      <c r="D158" s="114">
        <f t="shared" si="36"/>
        <v>0</v>
      </c>
      <c r="E158" s="114" t="e">
        <f t="shared" si="44"/>
        <v>#N/A</v>
      </c>
      <c r="F158" s="108" t="e">
        <f t="shared" si="37"/>
        <v>#N/A</v>
      </c>
      <c r="G158" s="114">
        <f t="shared" si="38"/>
        <v>0</v>
      </c>
      <c r="H158" s="110">
        <v>158</v>
      </c>
      <c r="I158" s="115">
        <v>0.0029</v>
      </c>
      <c r="J158" s="116">
        <v>0.0031</v>
      </c>
      <c r="K158" s="115">
        <v>0.000954</v>
      </c>
      <c r="L158" s="116">
        <v>0.0026</v>
      </c>
      <c r="M158" s="117">
        <v>0.0091</v>
      </c>
      <c r="N158" s="118">
        <f>IF(A158&gt;Dados!$C$16,0,IF(A158=Dados!$C$16,1,SUMIF($A$3:$A$500,CONCATENATE("&gt;",TEXT(DATEVALUE(TEXT(A158,"dd/mm/aaaa")),0)),$M$3:$M$500)-SUMIF($A$3:$A$500,CONCATENATE("&gt;",TEXT(Dados!$C$16-1,0)),$M$3:$M$500)+1%))</f>
        <v>0</v>
      </c>
      <c r="O158" s="119">
        <v>0.005</v>
      </c>
      <c r="P158" s="120">
        <f t="shared" si="33"/>
        <v>0.711042</v>
      </c>
      <c r="Q158" s="119">
        <v>0.01</v>
      </c>
      <c r="R158" s="120">
        <f t="shared" si="34"/>
        <v>0.831042</v>
      </c>
      <c r="S158" s="119">
        <v>0.005</v>
      </c>
      <c r="T158" s="120">
        <f t="shared" si="35"/>
        <v>0.711042</v>
      </c>
      <c r="AG158" s="121">
        <f t="shared" si="39"/>
        <v>39234</v>
      </c>
      <c r="AH158" s="121">
        <f t="shared" si="40"/>
        <v>39234</v>
      </c>
      <c r="AI158" s="121">
        <f t="shared" si="41"/>
        <v>39234</v>
      </c>
      <c r="AJ158" s="121">
        <f t="shared" si="42"/>
        <v>39234</v>
      </c>
      <c r="AK158" s="121">
        <f t="shared" si="43"/>
        <v>39234</v>
      </c>
    </row>
    <row r="159" spans="1:37" ht="15">
      <c r="A159" s="113">
        <v>39264</v>
      </c>
      <c r="B159" s="113" t="e">
        <f t="shared" si="45"/>
        <v>#N/A</v>
      </c>
      <c r="C159" s="108" t="e">
        <f t="shared" si="32"/>
        <v>#N/A</v>
      </c>
      <c r="D159" s="114">
        <f t="shared" si="36"/>
        <v>0</v>
      </c>
      <c r="E159" s="114" t="e">
        <f t="shared" si="44"/>
        <v>#N/A</v>
      </c>
      <c r="F159" s="108" t="e">
        <f t="shared" si="37"/>
        <v>#N/A</v>
      </c>
      <c r="G159" s="114">
        <f t="shared" si="38"/>
        <v>0</v>
      </c>
      <c r="H159" s="110">
        <v>159</v>
      </c>
      <c r="I159" s="115">
        <v>0.0024</v>
      </c>
      <c r="J159" s="116">
        <v>0.0032</v>
      </c>
      <c r="K159" s="115">
        <v>0.001469</v>
      </c>
      <c r="L159" s="116">
        <v>0.0037</v>
      </c>
      <c r="M159" s="117">
        <v>0.0097</v>
      </c>
      <c r="N159" s="118">
        <f>IF(A159&gt;Dados!$C$16,0,IF(A159=Dados!$C$16,1,SUMIF($A$3:$A$500,CONCATENATE("&gt;",TEXT(DATEVALUE(TEXT(A159,"dd/mm/aaaa")),0)),$M$3:$M$500)-SUMIF($A$3:$A$500,CONCATENATE("&gt;",TEXT(Dados!$C$16-1,0)),$M$3:$M$500)+1%))</f>
        <v>0</v>
      </c>
      <c r="O159" s="119">
        <v>0.005</v>
      </c>
      <c r="P159" s="120">
        <f t="shared" si="33"/>
        <v>0.706042</v>
      </c>
      <c r="Q159" s="119">
        <v>0.01</v>
      </c>
      <c r="R159" s="120">
        <f t="shared" si="34"/>
        <v>0.821042</v>
      </c>
      <c r="S159" s="119">
        <v>0.005</v>
      </c>
      <c r="T159" s="120">
        <f t="shared" si="35"/>
        <v>0.706042</v>
      </c>
      <c r="AG159" s="121">
        <f t="shared" si="39"/>
        <v>39264</v>
      </c>
      <c r="AH159" s="121">
        <f t="shared" si="40"/>
        <v>39264</v>
      </c>
      <c r="AI159" s="121">
        <f t="shared" si="41"/>
        <v>39264</v>
      </c>
      <c r="AJ159" s="121">
        <f t="shared" si="42"/>
        <v>39264</v>
      </c>
      <c r="AK159" s="121">
        <f t="shared" si="43"/>
        <v>39264</v>
      </c>
    </row>
    <row r="160" spans="1:37" ht="15">
      <c r="A160" s="113">
        <v>39295</v>
      </c>
      <c r="B160" s="113" t="e">
        <f t="shared" si="45"/>
        <v>#N/A</v>
      </c>
      <c r="C160" s="108" t="e">
        <f t="shared" si="32"/>
        <v>#N/A</v>
      </c>
      <c r="D160" s="114">
        <f t="shared" si="36"/>
        <v>0</v>
      </c>
      <c r="E160" s="114" t="e">
        <f t="shared" si="44"/>
        <v>#N/A</v>
      </c>
      <c r="F160" s="108" t="e">
        <f t="shared" si="37"/>
        <v>#N/A</v>
      </c>
      <c r="G160" s="114">
        <f t="shared" si="38"/>
        <v>0</v>
      </c>
      <c r="H160" s="110">
        <v>160</v>
      </c>
      <c r="I160" s="115">
        <v>0.0042</v>
      </c>
      <c r="J160" s="116">
        <v>0.0059</v>
      </c>
      <c r="K160" s="115">
        <v>0.001466</v>
      </c>
      <c r="L160" s="116">
        <v>0.0139</v>
      </c>
      <c r="M160" s="117">
        <v>0.0099</v>
      </c>
      <c r="N160" s="118">
        <f>IF(A160&gt;Dados!$C$16,0,IF(A160=Dados!$C$16,1,SUMIF($A$3:$A$500,CONCATENATE("&gt;",TEXT(DATEVALUE(TEXT(A160,"dd/mm/aaaa")),0)),$M$3:$M$500)-SUMIF($A$3:$A$500,CONCATENATE("&gt;",TEXT(Dados!$C$16-1,0)),$M$3:$M$500)+1%))</f>
        <v>0</v>
      </c>
      <c r="O160" s="119">
        <v>0.005</v>
      </c>
      <c r="P160" s="120">
        <f t="shared" si="33"/>
        <v>0.701042</v>
      </c>
      <c r="Q160" s="119">
        <v>0.01</v>
      </c>
      <c r="R160" s="120">
        <f t="shared" si="34"/>
        <v>0.811042</v>
      </c>
      <c r="S160" s="119">
        <v>0.005</v>
      </c>
      <c r="T160" s="120">
        <f t="shared" si="35"/>
        <v>0.701042</v>
      </c>
      <c r="AG160" s="121">
        <f t="shared" si="39"/>
        <v>39295</v>
      </c>
      <c r="AH160" s="121">
        <f t="shared" si="40"/>
        <v>39295</v>
      </c>
      <c r="AI160" s="121">
        <f t="shared" si="41"/>
        <v>39295</v>
      </c>
      <c r="AJ160" s="121">
        <f t="shared" si="42"/>
        <v>39295</v>
      </c>
      <c r="AK160" s="121">
        <f t="shared" si="43"/>
        <v>39295</v>
      </c>
    </row>
    <row r="161" spans="1:37" ht="15">
      <c r="A161" s="113">
        <v>39326</v>
      </c>
      <c r="B161" s="113" t="e">
        <f t="shared" si="45"/>
        <v>#N/A</v>
      </c>
      <c r="C161" s="108" t="e">
        <f t="shared" si="32"/>
        <v>#N/A</v>
      </c>
      <c r="D161" s="114">
        <f t="shared" si="36"/>
        <v>0</v>
      </c>
      <c r="E161" s="114" t="e">
        <f t="shared" si="44"/>
        <v>#N/A</v>
      </c>
      <c r="F161" s="108" t="e">
        <f t="shared" si="37"/>
        <v>#N/A</v>
      </c>
      <c r="G161" s="114">
        <f t="shared" si="38"/>
        <v>0</v>
      </c>
      <c r="H161" s="110">
        <v>161</v>
      </c>
      <c r="I161" s="115">
        <v>0.0029</v>
      </c>
      <c r="J161" s="116">
        <v>0.0025</v>
      </c>
      <c r="K161" s="115">
        <v>0.000352</v>
      </c>
      <c r="L161" s="116">
        <v>0.0117</v>
      </c>
      <c r="M161" s="117">
        <v>0.008</v>
      </c>
      <c r="N161" s="118">
        <f>IF(A161&gt;Dados!$C$16,0,IF(A161=Dados!$C$16,1,SUMIF($A$3:$A$500,CONCATENATE("&gt;",TEXT(DATEVALUE(TEXT(A161,"dd/mm/aaaa")),0)),$M$3:$M$500)-SUMIF($A$3:$A$500,CONCATENATE("&gt;",TEXT(Dados!$C$16-1,0)),$M$3:$M$500)+1%))</f>
        <v>0</v>
      </c>
      <c r="O161" s="119">
        <v>0.005</v>
      </c>
      <c r="P161" s="120">
        <f t="shared" si="33"/>
        <v>0.696042</v>
      </c>
      <c r="Q161" s="119">
        <v>0.01</v>
      </c>
      <c r="R161" s="120">
        <f t="shared" si="34"/>
        <v>0.801042</v>
      </c>
      <c r="S161" s="119">
        <v>0.005</v>
      </c>
      <c r="T161" s="120">
        <f t="shared" si="35"/>
        <v>0.696042</v>
      </c>
      <c r="AG161" s="121">
        <f t="shared" si="39"/>
        <v>39326</v>
      </c>
      <c r="AH161" s="121">
        <f t="shared" si="40"/>
        <v>39326</v>
      </c>
      <c r="AI161" s="121">
        <f t="shared" si="41"/>
        <v>39326</v>
      </c>
      <c r="AJ161" s="121">
        <f t="shared" si="42"/>
        <v>39326</v>
      </c>
      <c r="AK161" s="121">
        <f t="shared" si="43"/>
        <v>39326</v>
      </c>
    </row>
    <row r="162" spans="1:37" ht="15">
      <c r="A162" s="113">
        <v>39356</v>
      </c>
      <c r="B162" s="113" t="e">
        <f t="shared" si="45"/>
        <v>#N/A</v>
      </c>
      <c r="C162" s="108" t="e">
        <f t="shared" si="32"/>
        <v>#N/A</v>
      </c>
      <c r="D162" s="114">
        <f t="shared" si="36"/>
        <v>0</v>
      </c>
      <c r="E162" s="114" t="e">
        <f t="shared" si="44"/>
        <v>#N/A</v>
      </c>
      <c r="F162" s="108" t="e">
        <f t="shared" si="37"/>
        <v>#N/A</v>
      </c>
      <c r="G162" s="114">
        <f t="shared" si="38"/>
        <v>0</v>
      </c>
      <c r="H162" s="110">
        <v>162</v>
      </c>
      <c r="I162" s="115">
        <v>0.0024</v>
      </c>
      <c r="J162" s="116">
        <v>0.003</v>
      </c>
      <c r="K162" s="115">
        <v>0.001142</v>
      </c>
      <c r="L162" s="116">
        <v>0.0075</v>
      </c>
      <c r="M162" s="117">
        <v>0.0093</v>
      </c>
      <c r="N162" s="118">
        <f>IF(A162&gt;Dados!$C$16,0,IF(A162=Dados!$C$16,1,SUMIF($A$3:$A$500,CONCATENATE("&gt;",TEXT(DATEVALUE(TEXT(A162,"dd/mm/aaaa")),0)),$M$3:$M$500)-SUMIF($A$3:$A$500,CONCATENATE("&gt;",TEXT(Dados!$C$16-1,0)),$M$3:$M$500)+1%))</f>
        <v>0</v>
      </c>
      <c r="O162" s="119">
        <v>0.005</v>
      </c>
      <c r="P162" s="120">
        <f t="shared" si="33"/>
        <v>0.691042</v>
      </c>
      <c r="Q162" s="119">
        <v>0.01</v>
      </c>
      <c r="R162" s="120">
        <f t="shared" si="34"/>
        <v>0.791042</v>
      </c>
      <c r="S162" s="119">
        <v>0.005</v>
      </c>
      <c r="T162" s="120">
        <f t="shared" si="35"/>
        <v>0.691042</v>
      </c>
      <c r="AG162" s="121">
        <f t="shared" si="39"/>
        <v>39356</v>
      </c>
      <c r="AH162" s="121">
        <f t="shared" si="40"/>
        <v>39356</v>
      </c>
      <c r="AI162" s="121">
        <f t="shared" si="41"/>
        <v>39356</v>
      </c>
      <c r="AJ162" s="121">
        <f t="shared" si="42"/>
        <v>39356</v>
      </c>
      <c r="AK162" s="121">
        <f t="shared" si="43"/>
        <v>39356</v>
      </c>
    </row>
    <row r="163" spans="1:37" ht="15">
      <c r="A163" s="113">
        <v>39387</v>
      </c>
      <c r="B163" s="113" t="e">
        <f t="shared" si="45"/>
        <v>#N/A</v>
      </c>
      <c r="C163" s="108" t="e">
        <f t="shared" si="32"/>
        <v>#N/A</v>
      </c>
      <c r="D163" s="114">
        <f t="shared" si="36"/>
        <v>0</v>
      </c>
      <c r="E163" s="114" t="e">
        <f t="shared" si="44"/>
        <v>#N/A</v>
      </c>
      <c r="F163" s="108" t="e">
        <f t="shared" si="37"/>
        <v>#N/A</v>
      </c>
      <c r="G163" s="114">
        <f t="shared" si="38"/>
        <v>0</v>
      </c>
      <c r="H163" s="110">
        <v>163</v>
      </c>
      <c r="I163" s="115">
        <v>0.0023</v>
      </c>
      <c r="J163" s="116">
        <v>0.0043</v>
      </c>
      <c r="K163" s="115">
        <v>0.00059</v>
      </c>
      <c r="L163" s="116">
        <v>0.0105</v>
      </c>
      <c r="M163" s="117">
        <v>0.0084</v>
      </c>
      <c r="N163" s="118">
        <f>IF(A163&gt;Dados!$C$16,0,IF(A163=Dados!$C$16,1,SUMIF($A$3:$A$500,CONCATENATE("&gt;",TEXT(DATEVALUE(TEXT(A163,"dd/mm/aaaa")),0)),$M$3:$M$500)-SUMIF($A$3:$A$500,CONCATENATE("&gt;",TEXT(Dados!$C$16-1,0)),$M$3:$M$500)+1%))</f>
        <v>0</v>
      </c>
      <c r="O163" s="119">
        <v>0.005</v>
      </c>
      <c r="P163" s="120">
        <f t="shared" si="33"/>
        <v>0.686042</v>
      </c>
      <c r="Q163" s="119">
        <v>0.01</v>
      </c>
      <c r="R163" s="120">
        <f t="shared" si="34"/>
        <v>0.781042</v>
      </c>
      <c r="S163" s="119">
        <v>0.005</v>
      </c>
      <c r="T163" s="120">
        <f t="shared" si="35"/>
        <v>0.686042</v>
      </c>
      <c r="AG163" s="121">
        <f t="shared" si="39"/>
        <v>39387</v>
      </c>
      <c r="AH163" s="121">
        <f t="shared" si="40"/>
        <v>39387</v>
      </c>
      <c r="AI163" s="121">
        <f t="shared" si="41"/>
        <v>39387</v>
      </c>
      <c r="AJ163" s="121">
        <f t="shared" si="42"/>
        <v>39387</v>
      </c>
      <c r="AK163" s="121">
        <f t="shared" si="43"/>
        <v>39387</v>
      </c>
    </row>
    <row r="164" spans="1:37" ht="15">
      <c r="A164" s="113">
        <v>39417</v>
      </c>
      <c r="B164" s="113" t="e">
        <f t="shared" si="45"/>
        <v>#N/A</v>
      </c>
      <c r="C164" s="108" t="e">
        <f t="shared" si="32"/>
        <v>#N/A</v>
      </c>
      <c r="D164" s="114">
        <f t="shared" si="36"/>
        <v>0</v>
      </c>
      <c r="E164" s="114" t="e">
        <f t="shared" si="44"/>
        <v>#N/A</v>
      </c>
      <c r="F164" s="108" t="e">
        <f t="shared" si="37"/>
        <v>#N/A</v>
      </c>
      <c r="G164" s="114">
        <f t="shared" si="38"/>
        <v>0</v>
      </c>
      <c r="H164" s="110">
        <v>164</v>
      </c>
      <c r="I164" s="115">
        <v>0.007</v>
      </c>
      <c r="J164" s="116">
        <v>0.0097</v>
      </c>
      <c r="K164" s="115">
        <v>0.00064</v>
      </c>
      <c r="L164" s="116">
        <v>0.0147</v>
      </c>
      <c r="M164" s="117">
        <v>0.0084</v>
      </c>
      <c r="N164" s="118">
        <f>IF(A164&gt;Dados!$C$16,0,IF(A164=Dados!$C$16,1,SUMIF($A$3:$A$500,CONCATENATE("&gt;",TEXT(DATEVALUE(TEXT(A164,"dd/mm/aaaa")),0)),$M$3:$M$500)-SUMIF($A$3:$A$500,CONCATENATE("&gt;",TEXT(Dados!$C$16-1,0)),$M$3:$M$500)+1%))</f>
        <v>0</v>
      </c>
      <c r="O164" s="119">
        <v>0.005</v>
      </c>
      <c r="P164" s="120">
        <f t="shared" si="33"/>
        <v>0.681042</v>
      </c>
      <c r="Q164" s="119">
        <v>0.01</v>
      </c>
      <c r="R164" s="120">
        <f t="shared" si="34"/>
        <v>0.771042</v>
      </c>
      <c r="S164" s="119">
        <v>0.005</v>
      </c>
      <c r="T164" s="120">
        <f t="shared" si="35"/>
        <v>0.681042</v>
      </c>
      <c r="AG164" s="121">
        <f t="shared" si="39"/>
        <v>39417</v>
      </c>
      <c r="AH164" s="121">
        <f t="shared" si="40"/>
        <v>39417</v>
      </c>
      <c r="AI164" s="121">
        <f t="shared" si="41"/>
        <v>39417</v>
      </c>
      <c r="AJ164" s="121">
        <f t="shared" si="42"/>
        <v>39417</v>
      </c>
      <c r="AK164" s="121">
        <f t="shared" si="43"/>
        <v>39417</v>
      </c>
    </row>
    <row r="165" spans="1:37" ht="15">
      <c r="A165" s="113">
        <v>39448</v>
      </c>
      <c r="B165" s="113" t="e">
        <f t="shared" si="45"/>
        <v>#N/A</v>
      </c>
      <c r="C165" s="108" t="e">
        <f t="shared" si="32"/>
        <v>#N/A</v>
      </c>
      <c r="D165" s="114">
        <f t="shared" si="36"/>
        <v>0</v>
      </c>
      <c r="E165" s="114" t="e">
        <f t="shared" si="44"/>
        <v>#N/A</v>
      </c>
      <c r="F165" s="108" t="e">
        <f t="shared" si="37"/>
        <v>#N/A</v>
      </c>
      <c r="G165" s="114">
        <f t="shared" si="38"/>
        <v>0</v>
      </c>
      <c r="H165" s="110">
        <v>165</v>
      </c>
      <c r="I165" s="115">
        <v>0.007</v>
      </c>
      <c r="J165" s="116">
        <v>0.0069</v>
      </c>
      <c r="K165" s="115">
        <v>0.00101</v>
      </c>
      <c r="L165" s="116">
        <v>0.0099</v>
      </c>
      <c r="M165" s="117">
        <v>0.0093</v>
      </c>
      <c r="N165" s="118">
        <f>IF(A165&gt;Dados!$C$16,0,IF(A165=Dados!$C$16,1,SUMIF($A$3:$A$500,CONCATENATE("&gt;",TEXT(DATEVALUE(TEXT(A165,"dd/mm/aaaa")),0)),$M$3:$M$500)-SUMIF($A$3:$A$500,CONCATENATE("&gt;",TEXT(Dados!$C$16-1,0)),$M$3:$M$500)+1%))</f>
        <v>0</v>
      </c>
      <c r="O165" s="119">
        <v>0.005</v>
      </c>
      <c r="P165" s="120">
        <f t="shared" si="33"/>
        <v>0.676042</v>
      </c>
      <c r="Q165" s="119">
        <v>0.01</v>
      </c>
      <c r="R165" s="120">
        <f t="shared" si="34"/>
        <v>0.761042</v>
      </c>
      <c r="S165" s="119">
        <v>0.005</v>
      </c>
      <c r="T165" s="120">
        <f t="shared" si="35"/>
        <v>0.676042</v>
      </c>
      <c r="AG165" s="121">
        <f t="shared" si="39"/>
        <v>39448</v>
      </c>
      <c r="AH165" s="121">
        <f t="shared" si="40"/>
        <v>39448</v>
      </c>
      <c r="AI165" s="121">
        <f t="shared" si="41"/>
        <v>39448</v>
      </c>
      <c r="AJ165" s="121">
        <f t="shared" si="42"/>
        <v>39448</v>
      </c>
      <c r="AK165" s="121">
        <f t="shared" si="43"/>
        <v>39448</v>
      </c>
    </row>
    <row r="166" spans="1:37" ht="15">
      <c r="A166" s="113">
        <v>39479</v>
      </c>
      <c r="B166" s="113" t="e">
        <f t="shared" si="45"/>
        <v>#N/A</v>
      </c>
      <c r="C166" s="108" t="e">
        <f t="shared" si="32"/>
        <v>#N/A</v>
      </c>
      <c r="D166" s="114">
        <f t="shared" si="36"/>
        <v>0</v>
      </c>
      <c r="E166" s="114" t="e">
        <f t="shared" si="44"/>
        <v>#N/A</v>
      </c>
      <c r="F166" s="108" t="e">
        <f t="shared" si="37"/>
        <v>#N/A</v>
      </c>
      <c r="G166" s="114">
        <f t="shared" si="38"/>
        <v>0</v>
      </c>
      <c r="H166" s="110">
        <v>166</v>
      </c>
      <c r="I166" s="115">
        <v>0.0064</v>
      </c>
      <c r="J166" s="116">
        <v>0.0048</v>
      </c>
      <c r="K166" s="115">
        <v>0.000243</v>
      </c>
      <c r="L166" s="116">
        <v>0.0038</v>
      </c>
      <c r="M166" s="117">
        <v>0.008</v>
      </c>
      <c r="N166" s="118">
        <f>IF(A166&gt;Dados!$C$16,0,IF(A166=Dados!$C$16,1,SUMIF($A$3:$A$500,CONCATENATE("&gt;",TEXT(DATEVALUE(TEXT(A166,"dd/mm/aaaa")),0)),$M$3:$M$500)-SUMIF($A$3:$A$500,CONCATENATE("&gt;",TEXT(Dados!$C$16-1,0)),$M$3:$M$500)+1%))</f>
        <v>0</v>
      </c>
      <c r="O166" s="119">
        <v>0.005</v>
      </c>
      <c r="P166" s="120">
        <f t="shared" si="33"/>
        <v>0.671042</v>
      </c>
      <c r="Q166" s="119">
        <v>0.01</v>
      </c>
      <c r="R166" s="120">
        <f t="shared" si="34"/>
        <v>0.751042</v>
      </c>
      <c r="S166" s="119">
        <v>0.005</v>
      </c>
      <c r="T166" s="120">
        <f t="shared" si="35"/>
        <v>0.671042</v>
      </c>
      <c r="AG166" s="121">
        <f t="shared" si="39"/>
        <v>39479</v>
      </c>
      <c r="AH166" s="121">
        <f t="shared" si="40"/>
        <v>39479</v>
      </c>
      <c r="AI166" s="121">
        <f t="shared" si="41"/>
        <v>39479</v>
      </c>
      <c r="AJ166" s="121">
        <f t="shared" si="42"/>
        <v>39479</v>
      </c>
      <c r="AK166" s="121">
        <f t="shared" si="43"/>
        <v>39479</v>
      </c>
    </row>
    <row r="167" spans="1:37" ht="15">
      <c r="A167" s="113">
        <v>39508</v>
      </c>
      <c r="B167" s="113" t="e">
        <f t="shared" si="45"/>
        <v>#N/A</v>
      </c>
      <c r="C167" s="108" t="e">
        <f t="shared" si="32"/>
        <v>#N/A</v>
      </c>
      <c r="D167" s="114">
        <f t="shared" si="36"/>
        <v>0</v>
      </c>
      <c r="E167" s="114" t="e">
        <f t="shared" si="44"/>
        <v>#N/A</v>
      </c>
      <c r="F167" s="108" t="e">
        <f t="shared" si="37"/>
        <v>#N/A</v>
      </c>
      <c r="G167" s="114">
        <f t="shared" si="38"/>
        <v>0</v>
      </c>
      <c r="H167" s="110">
        <v>167</v>
      </c>
      <c r="I167" s="115">
        <v>0.0023</v>
      </c>
      <c r="J167" s="116">
        <v>0.0051</v>
      </c>
      <c r="K167" s="115">
        <v>0.000409</v>
      </c>
      <c r="L167" s="116">
        <v>0.007</v>
      </c>
      <c r="M167" s="117">
        <v>0.0084</v>
      </c>
      <c r="N167" s="118">
        <f>IF(A167&gt;Dados!$C$16,0,IF(A167=Dados!$C$16,1,SUMIF($A$3:$A$500,CONCATENATE("&gt;",TEXT(DATEVALUE(TEXT(A167,"dd/mm/aaaa")),0)),$M$3:$M$500)-SUMIF($A$3:$A$500,CONCATENATE("&gt;",TEXT(Dados!$C$16-1,0)),$M$3:$M$500)+1%))</f>
        <v>0</v>
      </c>
      <c r="O167" s="119">
        <v>0.005</v>
      </c>
      <c r="P167" s="120">
        <f t="shared" si="33"/>
        <v>0.666042</v>
      </c>
      <c r="Q167" s="119">
        <v>0.01</v>
      </c>
      <c r="R167" s="120">
        <f t="shared" si="34"/>
        <v>0.741042</v>
      </c>
      <c r="S167" s="119">
        <v>0.005</v>
      </c>
      <c r="T167" s="120">
        <f t="shared" si="35"/>
        <v>0.666042</v>
      </c>
      <c r="AG167" s="121">
        <f t="shared" si="39"/>
        <v>39508</v>
      </c>
      <c r="AH167" s="121">
        <f t="shared" si="40"/>
        <v>39508</v>
      </c>
      <c r="AI167" s="121">
        <f t="shared" si="41"/>
        <v>39508</v>
      </c>
      <c r="AJ167" s="121">
        <f t="shared" si="42"/>
        <v>39508</v>
      </c>
      <c r="AK167" s="121">
        <f t="shared" si="43"/>
        <v>39508</v>
      </c>
    </row>
    <row r="168" spans="1:37" ht="15">
      <c r="A168" s="113">
        <v>39539</v>
      </c>
      <c r="B168" s="113" t="e">
        <f t="shared" si="45"/>
        <v>#N/A</v>
      </c>
      <c r="C168" s="108" t="e">
        <f t="shared" si="32"/>
        <v>#N/A</v>
      </c>
      <c r="D168" s="114">
        <f t="shared" si="36"/>
        <v>0</v>
      </c>
      <c r="E168" s="114" t="e">
        <f t="shared" si="44"/>
        <v>#N/A</v>
      </c>
      <c r="F168" s="108" t="e">
        <f t="shared" si="37"/>
        <v>#N/A</v>
      </c>
      <c r="G168" s="114">
        <f t="shared" si="38"/>
        <v>0</v>
      </c>
      <c r="H168" s="110">
        <v>168</v>
      </c>
      <c r="I168" s="115">
        <v>0.0059</v>
      </c>
      <c r="J168" s="116">
        <v>0.0064</v>
      </c>
      <c r="K168" s="115">
        <v>0.000955</v>
      </c>
      <c r="L168" s="116">
        <v>0.0112</v>
      </c>
      <c r="M168" s="117">
        <v>0.009</v>
      </c>
      <c r="N168" s="118">
        <f>IF(A168&gt;Dados!$C$16,0,IF(A168=Dados!$C$16,1,SUMIF($A$3:$A$500,CONCATENATE("&gt;",TEXT(DATEVALUE(TEXT(A168,"dd/mm/aaaa")),0)),$M$3:$M$500)-SUMIF($A$3:$A$500,CONCATENATE("&gt;",TEXT(Dados!$C$16-1,0)),$M$3:$M$500)+1%))</f>
        <v>0</v>
      </c>
      <c r="O168" s="119">
        <v>0.005</v>
      </c>
      <c r="P168" s="120">
        <f t="shared" si="33"/>
        <v>0.661042</v>
      </c>
      <c r="Q168" s="119">
        <v>0.01</v>
      </c>
      <c r="R168" s="120">
        <f t="shared" si="34"/>
        <v>0.731042</v>
      </c>
      <c r="S168" s="119">
        <v>0.005</v>
      </c>
      <c r="T168" s="120">
        <f t="shared" si="35"/>
        <v>0.661042</v>
      </c>
      <c r="AG168" s="121">
        <f t="shared" si="39"/>
        <v>39539</v>
      </c>
      <c r="AH168" s="121">
        <f t="shared" si="40"/>
        <v>39539</v>
      </c>
      <c r="AI168" s="121">
        <f t="shared" si="41"/>
        <v>39539</v>
      </c>
      <c r="AJ168" s="121">
        <f t="shared" si="42"/>
        <v>39539</v>
      </c>
      <c r="AK168" s="121">
        <f t="shared" si="43"/>
        <v>39539</v>
      </c>
    </row>
    <row r="169" spans="1:37" ht="15">
      <c r="A169" s="113">
        <v>39569</v>
      </c>
      <c r="B169" s="113" t="e">
        <f t="shared" si="45"/>
        <v>#N/A</v>
      </c>
      <c r="C169" s="108" t="e">
        <f t="shared" si="32"/>
        <v>#N/A</v>
      </c>
      <c r="D169" s="114">
        <f t="shared" si="36"/>
        <v>0</v>
      </c>
      <c r="E169" s="114" t="e">
        <f t="shared" si="44"/>
        <v>#N/A</v>
      </c>
      <c r="F169" s="108" t="e">
        <f t="shared" si="37"/>
        <v>#N/A</v>
      </c>
      <c r="G169" s="114">
        <f t="shared" si="38"/>
        <v>0</v>
      </c>
      <c r="H169" s="110">
        <v>169</v>
      </c>
      <c r="I169" s="115">
        <v>0.0056</v>
      </c>
      <c r="J169" s="116">
        <v>0.0096</v>
      </c>
      <c r="K169" s="115">
        <v>0.000736</v>
      </c>
      <c r="L169" s="116">
        <v>0.0188</v>
      </c>
      <c r="M169" s="117">
        <v>0.0088</v>
      </c>
      <c r="N169" s="118">
        <f>IF(A169&gt;Dados!$C$16,0,IF(A169=Dados!$C$16,1,SUMIF($A$3:$A$500,CONCATENATE("&gt;",TEXT(DATEVALUE(TEXT(A169,"dd/mm/aaaa")),0)),$M$3:$M$500)-SUMIF($A$3:$A$500,CONCATENATE("&gt;",TEXT(Dados!$C$16-1,0)),$M$3:$M$500)+1%))</f>
        <v>0</v>
      </c>
      <c r="O169" s="119">
        <v>0.005</v>
      </c>
      <c r="P169" s="120">
        <f t="shared" si="33"/>
        <v>0.656042</v>
      </c>
      <c r="Q169" s="119">
        <v>0.01</v>
      </c>
      <c r="R169" s="120">
        <f t="shared" si="34"/>
        <v>0.721042</v>
      </c>
      <c r="S169" s="119">
        <v>0.005</v>
      </c>
      <c r="T169" s="120">
        <f t="shared" si="35"/>
        <v>0.656042</v>
      </c>
      <c r="AG169" s="121">
        <f t="shared" si="39"/>
        <v>39569</v>
      </c>
      <c r="AH169" s="121">
        <f t="shared" si="40"/>
        <v>39569</v>
      </c>
      <c r="AI169" s="121">
        <f t="shared" si="41"/>
        <v>39569</v>
      </c>
      <c r="AJ169" s="121">
        <f t="shared" si="42"/>
        <v>39569</v>
      </c>
      <c r="AK169" s="121">
        <f t="shared" si="43"/>
        <v>39569</v>
      </c>
    </row>
    <row r="170" spans="1:37" ht="15">
      <c r="A170" s="113">
        <v>39600</v>
      </c>
      <c r="B170" s="113" t="e">
        <f t="shared" si="45"/>
        <v>#N/A</v>
      </c>
      <c r="C170" s="108" t="e">
        <f t="shared" si="32"/>
        <v>#N/A</v>
      </c>
      <c r="D170" s="114">
        <f t="shared" si="36"/>
        <v>0</v>
      </c>
      <c r="E170" s="114" t="e">
        <f t="shared" si="44"/>
        <v>#N/A</v>
      </c>
      <c r="F170" s="108" t="e">
        <f t="shared" si="37"/>
        <v>#N/A</v>
      </c>
      <c r="G170" s="114">
        <f t="shared" si="38"/>
        <v>0</v>
      </c>
      <c r="H170" s="110">
        <v>170</v>
      </c>
      <c r="I170" s="115">
        <v>0.009</v>
      </c>
      <c r="J170" s="116">
        <v>0.0091</v>
      </c>
      <c r="K170" s="115">
        <v>0.001146</v>
      </c>
      <c r="L170" s="116">
        <v>0.0189</v>
      </c>
      <c r="M170" s="117">
        <v>0.0096</v>
      </c>
      <c r="N170" s="118">
        <f>IF(A170&gt;Dados!$C$16,0,IF(A170=Dados!$C$16,1,SUMIF($A$3:$A$500,CONCATENATE("&gt;",TEXT(DATEVALUE(TEXT(A170,"dd/mm/aaaa")),0)),$M$3:$M$500)-SUMIF($A$3:$A$500,CONCATENATE("&gt;",TEXT(Dados!$C$16-1,0)),$M$3:$M$500)+1%))</f>
        <v>0</v>
      </c>
      <c r="O170" s="119">
        <v>0.005</v>
      </c>
      <c r="P170" s="120">
        <f t="shared" si="33"/>
        <v>0.651042</v>
      </c>
      <c r="Q170" s="119">
        <v>0.01</v>
      </c>
      <c r="R170" s="120">
        <f t="shared" si="34"/>
        <v>0.711042</v>
      </c>
      <c r="S170" s="119">
        <v>0.005</v>
      </c>
      <c r="T170" s="120">
        <f t="shared" si="35"/>
        <v>0.651042</v>
      </c>
      <c r="AG170" s="121">
        <f t="shared" si="39"/>
        <v>39600</v>
      </c>
      <c r="AH170" s="121">
        <f t="shared" si="40"/>
        <v>39600</v>
      </c>
      <c r="AI170" s="121">
        <f t="shared" si="41"/>
        <v>39600</v>
      </c>
      <c r="AJ170" s="121">
        <f t="shared" si="42"/>
        <v>39600</v>
      </c>
      <c r="AK170" s="121">
        <f t="shared" si="43"/>
        <v>39600</v>
      </c>
    </row>
    <row r="171" spans="1:37" ht="15">
      <c r="A171" s="113">
        <v>39630</v>
      </c>
      <c r="B171" s="113" t="e">
        <f t="shared" si="45"/>
        <v>#N/A</v>
      </c>
      <c r="C171" s="108" t="e">
        <f t="shared" si="32"/>
        <v>#N/A</v>
      </c>
      <c r="D171" s="114">
        <f t="shared" si="36"/>
        <v>0</v>
      </c>
      <c r="E171" s="114" t="e">
        <f t="shared" si="44"/>
        <v>#N/A</v>
      </c>
      <c r="F171" s="108" t="e">
        <f t="shared" si="37"/>
        <v>#N/A</v>
      </c>
      <c r="G171" s="114">
        <f t="shared" si="38"/>
        <v>0</v>
      </c>
      <c r="H171" s="110">
        <v>171</v>
      </c>
      <c r="I171" s="115">
        <v>0.0063</v>
      </c>
      <c r="J171" s="116">
        <v>0.0058</v>
      </c>
      <c r="K171" s="115">
        <v>0.001914</v>
      </c>
      <c r="L171" s="116">
        <v>0.0112</v>
      </c>
      <c r="M171" s="117">
        <v>0.0107</v>
      </c>
      <c r="N171" s="118">
        <f>IF(A171&gt;Dados!$C$16,0,IF(A171=Dados!$C$16,1,SUMIF($A$3:$A$500,CONCATENATE("&gt;",TEXT(DATEVALUE(TEXT(A171,"dd/mm/aaaa")),0)),$M$3:$M$500)-SUMIF($A$3:$A$500,CONCATENATE("&gt;",TEXT(Dados!$C$16-1,0)),$M$3:$M$500)+1%))</f>
        <v>0</v>
      </c>
      <c r="O171" s="119">
        <v>0.005</v>
      </c>
      <c r="P171" s="120">
        <f t="shared" si="33"/>
        <v>0.646042</v>
      </c>
      <c r="Q171" s="119">
        <v>0.01</v>
      </c>
      <c r="R171" s="120">
        <f t="shared" si="34"/>
        <v>0.701042</v>
      </c>
      <c r="S171" s="119">
        <v>0.005</v>
      </c>
      <c r="T171" s="120">
        <f t="shared" si="35"/>
        <v>0.646042</v>
      </c>
      <c r="AG171" s="121">
        <f t="shared" si="39"/>
        <v>39630</v>
      </c>
      <c r="AH171" s="121">
        <f t="shared" si="40"/>
        <v>39630</v>
      </c>
      <c r="AI171" s="121">
        <f t="shared" si="41"/>
        <v>39630</v>
      </c>
      <c r="AJ171" s="121">
        <f t="shared" si="42"/>
        <v>39630</v>
      </c>
      <c r="AK171" s="121">
        <f t="shared" si="43"/>
        <v>39630</v>
      </c>
    </row>
    <row r="172" spans="1:37" ht="15">
      <c r="A172" s="113">
        <v>39661</v>
      </c>
      <c r="B172" s="113" t="e">
        <f t="shared" si="45"/>
        <v>#N/A</v>
      </c>
      <c r="C172" s="108" t="e">
        <f t="shared" si="32"/>
        <v>#N/A</v>
      </c>
      <c r="D172" s="114">
        <f t="shared" si="36"/>
        <v>0</v>
      </c>
      <c r="E172" s="114" t="e">
        <f t="shared" si="44"/>
        <v>#N/A</v>
      </c>
      <c r="F172" s="108" t="e">
        <f t="shared" si="37"/>
        <v>#N/A</v>
      </c>
      <c r="G172" s="114">
        <f t="shared" si="38"/>
        <v>0</v>
      </c>
      <c r="H172" s="110">
        <v>172</v>
      </c>
      <c r="I172" s="115">
        <v>0.0035</v>
      </c>
      <c r="J172" s="116">
        <v>0.0021</v>
      </c>
      <c r="K172" s="115">
        <v>0.001574</v>
      </c>
      <c r="L172" s="116">
        <v>-0.0038</v>
      </c>
      <c r="M172" s="117">
        <v>0.0102</v>
      </c>
      <c r="N172" s="118">
        <f>IF(A172&gt;Dados!$C$16,0,IF(A172=Dados!$C$16,1,SUMIF($A$3:$A$500,CONCATENATE("&gt;",TEXT(DATEVALUE(TEXT(A172,"dd/mm/aaaa")),0)),$M$3:$M$500)-SUMIF($A$3:$A$500,CONCATENATE("&gt;",TEXT(Dados!$C$16-1,0)),$M$3:$M$500)+1%))</f>
        <v>0</v>
      </c>
      <c r="O172" s="119">
        <v>0.005</v>
      </c>
      <c r="P172" s="120">
        <f t="shared" si="33"/>
        <v>0.641042</v>
      </c>
      <c r="Q172" s="119">
        <v>0.01</v>
      </c>
      <c r="R172" s="120">
        <f t="shared" si="34"/>
        <v>0.691042</v>
      </c>
      <c r="S172" s="119">
        <v>0.005</v>
      </c>
      <c r="T172" s="120">
        <f t="shared" si="35"/>
        <v>0.641042</v>
      </c>
      <c r="AG172" s="121">
        <f t="shared" si="39"/>
        <v>39661</v>
      </c>
      <c r="AH172" s="121">
        <f t="shared" si="40"/>
        <v>39661</v>
      </c>
      <c r="AI172" s="121">
        <f t="shared" si="41"/>
        <v>39661</v>
      </c>
      <c r="AJ172" s="121">
        <f t="shared" si="42"/>
        <v>39661</v>
      </c>
      <c r="AK172" s="121">
        <f t="shared" si="43"/>
        <v>39661</v>
      </c>
    </row>
    <row r="173" spans="1:37" ht="15">
      <c r="A173" s="113">
        <v>39692</v>
      </c>
      <c r="B173" s="113" t="e">
        <f t="shared" si="45"/>
        <v>#N/A</v>
      </c>
      <c r="C173" s="108" t="e">
        <f t="shared" si="32"/>
        <v>#N/A</v>
      </c>
      <c r="D173" s="114">
        <f t="shared" si="36"/>
        <v>0</v>
      </c>
      <c r="E173" s="114" t="e">
        <f t="shared" si="44"/>
        <v>#N/A</v>
      </c>
      <c r="F173" s="108" t="e">
        <f t="shared" si="37"/>
        <v>#N/A</v>
      </c>
      <c r="G173" s="114">
        <f t="shared" si="38"/>
        <v>0</v>
      </c>
      <c r="H173" s="110">
        <v>173</v>
      </c>
      <c r="I173" s="115">
        <v>0.0026</v>
      </c>
      <c r="J173" s="116">
        <v>0.0015</v>
      </c>
      <c r="K173" s="115">
        <v>0.00197</v>
      </c>
      <c r="L173" s="116">
        <v>0.0036</v>
      </c>
      <c r="M173" s="117">
        <v>0.011</v>
      </c>
      <c r="N173" s="118">
        <f>IF(A173&gt;Dados!$C$16,0,IF(A173=Dados!$C$16,1,SUMIF($A$3:$A$500,CONCATENATE("&gt;",TEXT(DATEVALUE(TEXT(A173,"dd/mm/aaaa")),0)),$M$3:$M$500)-SUMIF($A$3:$A$500,CONCATENATE("&gt;",TEXT(Dados!$C$16-1,0)),$M$3:$M$500)+1%))</f>
        <v>0</v>
      </c>
      <c r="O173" s="119">
        <v>0.005</v>
      </c>
      <c r="P173" s="120">
        <f t="shared" si="33"/>
        <v>0.636042</v>
      </c>
      <c r="Q173" s="119">
        <v>0.01</v>
      </c>
      <c r="R173" s="120">
        <f t="shared" si="34"/>
        <v>0.681042</v>
      </c>
      <c r="S173" s="119">
        <v>0.005</v>
      </c>
      <c r="T173" s="120">
        <f t="shared" si="35"/>
        <v>0.636042</v>
      </c>
      <c r="AG173" s="121">
        <f t="shared" si="39"/>
        <v>39692</v>
      </c>
      <c r="AH173" s="121">
        <f t="shared" si="40"/>
        <v>39692</v>
      </c>
      <c r="AI173" s="121">
        <f t="shared" si="41"/>
        <v>39692</v>
      </c>
      <c r="AJ173" s="121">
        <f t="shared" si="42"/>
        <v>39692</v>
      </c>
      <c r="AK173" s="121">
        <f t="shared" si="43"/>
        <v>39692</v>
      </c>
    </row>
    <row r="174" spans="1:37" ht="15">
      <c r="A174" s="113">
        <v>39722</v>
      </c>
      <c r="B174" s="113" t="e">
        <f t="shared" si="45"/>
        <v>#N/A</v>
      </c>
      <c r="C174" s="108" t="e">
        <f t="shared" si="32"/>
        <v>#N/A</v>
      </c>
      <c r="D174" s="114">
        <f t="shared" si="36"/>
        <v>0</v>
      </c>
      <c r="E174" s="114" t="e">
        <f t="shared" si="44"/>
        <v>#N/A</v>
      </c>
      <c r="F174" s="108" t="e">
        <f t="shared" si="37"/>
        <v>#N/A</v>
      </c>
      <c r="G174" s="114">
        <f t="shared" si="38"/>
        <v>0</v>
      </c>
      <c r="H174" s="110">
        <v>174</v>
      </c>
      <c r="I174" s="115">
        <v>0.003</v>
      </c>
      <c r="J174" s="116">
        <v>0.005</v>
      </c>
      <c r="K174" s="115">
        <v>0.002506</v>
      </c>
      <c r="L174" s="116">
        <v>0.0109</v>
      </c>
      <c r="M174" s="117">
        <v>0.0118</v>
      </c>
      <c r="N174" s="118">
        <f>IF(A174&gt;Dados!$C$16,0,IF(A174=Dados!$C$16,1,SUMIF($A$3:$A$500,CONCATENATE("&gt;",TEXT(DATEVALUE(TEXT(A174,"dd/mm/aaaa")),0)),$M$3:$M$500)-SUMIF($A$3:$A$500,CONCATENATE("&gt;",TEXT(Dados!$C$16-1,0)),$M$3:$M$500)+1%))</f>
        <v>0</v>
      </c>
      <c r="O174" s="119">
        <v>0.005</v>
      </c>
      <c r="P174" s="120">
        <f t="shared" si="33"/>
        <v>0.631042</v>
      </c>
      <c r="Q174" s="119">
        <v>0.01</v>
      </c>
      <c r="R174" s="120">
        <f t="shared" si="34"/>
        <v>0.671042</v>
      </c>
      <c r="S174" s="119">
        <v>0.005</v>
      </c>
      <c r="T174" s="120">
        <f t="shared" si="35"/>
        <v>0.631042</v>
      </c>
      <c r="AG174" s="121">
        <f t="shared" si="39"/>
        <v>39722</v>
      </c>
      <c r="AH174" s="121">
        <f t="shared" si="40"/>
        <v>39722</v>
      </c>
      <c r="AI174" s="121">
        <f t="shared" si="41"/>
        <v>39722</v>
      </c>
      <c r="AJ174" s="121">
        <f t="shared" si="42"/>
        <v>39722</v>
      </c>
      <c r="AK174" s="121">
        <f t="shared" si="43"/>
        <v>39722</v>
      </c>
    </row>
    <row r="175" spans="1:37" ht="15">
      <c r="A175" s="113">
        <v>39753</v>
      </c>
      <c r="B175" s="113" t="e">
        <f t="shared" si="45"/>
        <v>#N/A</v>
      </c>
      <c r="C175" s="108" t="e">
        <f t="shared" si="32"/>
        <v>#N/A</v>
      </c>
      <c r="D175" s="114">
        <f t="shared" si="36"/>
        <v>0</v>
      </c>
      <c r="E175" s="114" t="e">
        <f t="shared" si="44"/>
        <v>#N/A</v>
      </c>
      <c r="F175" s="108" t="e">
        <f t="shared" si="37"/>
        <v>#N/A</v>
      </c>
      <c r="G175" s="114">
        <f t="shared" si="38"/>
        <v>0</v>
      </c>
      <c r="H175" s="110">
        <v>175</v>
      </c>
      <c r="I175" s="115">
        <v>0.0049</v>
      </c>
      <c r="J175" s="116">
        <v>0.0038</v>
      </c>
      <c r="K175" s="115">
        <v>0.001618</v>
      </c>
      <c r="L175" s="116">
        <v>0.0007</v>
      </c>
      <c r="M175" s="117">
        <v>0.0102</v>
      </c>
      <c r="N175" s="118">
        <f>IF(A175&gt;Dados!$C$16,0,IF(A175=Dados!$C$16,1,SUMIF($A$3:$A$500,CONCATENATE("&gt;",TEXT(DATEVALUE(TEXT(A175,"dd/mm/aaaa")),0)),$M$3:$M$500)-SUMIF($A$3:$A$500,CONCATENATE("&gt;",TEXT(Dados!$C$16-1,0)),$M$3:$M$500)+1%))</f>
        <v>0</v>
      </c>
      <c r="O175" s="119">
        <v>0.005</v>
      </c>
      <c r="P175" s="120">
        <f t="shared" si="33"/>
        <v>0.626042</v>
      </c>
      <c r="Q175" s="119">
        <v>0.01</v>
      </c>
      <c r="R175" s="120">
        <f t="shared" si="34"/>
        <v>0.661042</v>
      </c>
      <c r="S175" s="119">
        <v>0.005</v>
      </c>
      <c r="T175" s="120">
        <f t="shared" si="35"/>
        <v>0.626042</v>
      </c>
      <c r="AG175" s="121">
        <f t="shared" si="39"/>
        <v>39753</v>
      </c>
      <c r="AH175" s="121">
        <f t="shared" si="40"/>
        <v>39753</v>
      </c>
      <c r="AI175" s="121">
        <f t="shared" si="41"/>
        <v>39753</v>
      </c>
      <c r="AJ175" s="121">
        <f t="shared" si="42"/>
        <v>39753</v>
      </c>
      <c r="AK175" s="121">
        <f t="shared" si="43"/>
        <v>39753</v>
      </c>
    </row>
    <row r="176" spans="1:37" ht="15">
      <c r="A176" s="113">
        <v>39783</v>
      </c>
      <c r="B176" s="113" t="e">
        <f t="shared" si="45"/>
        <v>#N/A</v>
      </c>
      <c r="C176" s="108" t="e">
        <f t="shared" si="32"/>
        <v>#N/A</v>
      </c>
      <c r="D176" s="114">
        <f t="shared" si="36"/>
        <v>0</v>
      </c>
      <c r="E176" s="114" t="e">
        <f t="shared" si="44"/>
        <v>#N/A</v>
      </c>
      <c r="F176" s="108" t="e">
        <f t="shared" si="37"/>
        <v>#N/A</v>
      </c>
      <c r="G176" s="114">
        <f t="shared" si="38"/>
        <v>0</v>
      </c>
      <c r="H176" s="110">
        <v>176</v>
      </c>
      <c r="I176" s="115">
        <v>0.0029</v>
      </c>
      <c r="J176" s="116">
        <v>0.0029</v>
      </c>
      <c r="K176" s="115">
        <v>0.002149</v>
      </c>
      <c r="L176" s="116">
        <v>-0.0044</v>
      </c>
      <c r="M176" s="117">
        <v>0.0112</v>
      </c>
      <c r="N176" s="118">
        <f>IF(A176&gt;Dados!$C$16,0,IF(A176=Dados!$C$16,1,SUMIF($A$3:$A$500,CONCATENATE("&gt;",TEXT(DATEVALUE(TEXT(A176,"dd/mm/aaaa")),0)),$M$3:$M$500)-SUMIF($A$3:$A$500,CONCATENATE("&gt;",TEXT(Dados!$C$16-1,0)),$M$3:$M$500)+1%))</f>
        <v>0</v>
      </c>
      <c r="O176" s="119">
        <v>0.005</v>
      </c>
      <c r="P176" s="120">
        <f t="shared" si="33"/>
        <v>0.621042</v>
      </c>
      <c r="Q176" s="119">
        <v>0.01</v>
      </c>
      <c r="R176" s="120">
        <f t="shared" si="34"/>
        <v>0.651042</v>
      </c>
      <c r="S176" s="119">
        <v>0.005</v>
      </c>
      <c r="T176" s="120">
        <f t="shared" si="35"/>
        <v>0.621042</v>
      </c>
      <c r="AG176" s="121">
        <f t="shared" si="39"/>
        <v>39783</v>
      </c>
      <c r="AH176" s="121">
        <f t="shared" si="40"/>
        <v>39783</v>
      </c>
      <c r="AI176" s="121">
        <f t="shared" si="41"/>
        <v>39783</v>
      </c>
      <c r="AJ176" s="121">
        <f t="shared" si="42"/>
        <v>39783</v>
      </c>
      <c r="AK176" s="121">
        <f t="shared" si="43"/>
        <v>39783</v>
      </c>
    </row>
    <row r="177" spans="1:37" ht="15">
      <c r="A177" s="113">
        <v>39814</v>
      </c>
      <c r="B177" s="113" t="e">
        <f t="shared" si="45"/>
        <v>#N/A</v>
      </c>
      <c r="C177" s="108" t="e">
        <f t="shared" si="32"/>
        <v>#N/A</v>
      </c>
      <c r="D177" s="114">
        <f t="shared" si="36"/>
        <v>0</v>
      </c>
      <c r="E177" s="114" t="e">
        <f t="shared" si="44"/>
        <v>#N/A</v>
      </c>
      <c r="F177" s="108" t="e">
        <f t="shared" si="37"/>
        <v>#N/A</v>
      </c>
      <c r="G177" s="114">
        <f t="shared" si="38"/>
        <v>0</v>
      </c>
      <c r="H177" s="110">
        <v>177</v>
      </c>
      <c r="I177" s="115">
        <v>0.004</v>
      </c>
      <c r="J177" s="116">
        <v>0.0064</v>
      </c>
      <c r="K177" s="115">
        <v>0.00184</v>
      </c>
      <c r="L177" s="116">
        <v>0.0001</v>
      </c>
      <c r="M177" s="117">
        <v>0.0105</v>
      </c>
      <c r="N177" s="118">
        <f>IF(A177&gt;Dados!$C$16,0,IF(A177=Dados!$C$16,1,SUMIF($A$3:$A$500,CONCATENATE("&gt;",TEXT(DATEVALUE(TEXT(A177,"dd/mm/aaaa")),0)),$M$3:$M$500)-SUMIF($A$3:$A$500,CONCATENATE("&gt;",TEXT(Dados!$C$16-1,0)),$M$3:$M$500)+1%))</f>
        <v>0</v>
      </c>
      <c r="O177" s="119">
        <v>0.005</v>
      </c>
      <c r="P177" s="120">
        <f t="shared" si="33"/>
        <v>0.616042</v>
      </c>
      <c r="Q177" s="119">
        <v>0.01</v>
      </c>
      <c r="R177" s="120">
        <f t="shared" si="34"/>
        <v>0.641042</v>
      </c>
      <c r="S177" s="119">
        <v>0.005</v>
      </c>
      <c r="T177" s="120">
        <f t="shared" si="35"/>
        <v>0.616042</v>
      </c>
      <c r="AG177" s="121">
        <f t="shared" si="39"/>
        <v>39814</v>
      </c>
      <c r="AH177" s="121">
        <f t="shared" si="40"/>
        <v>39814</v>
      </c>
      <c r="AI177" s="121">
        <f t="shared" si="41"/>
        <v>39814</v>
      </c>
      <c r="AJ177" s="121">
        <f t="shared" si="42"/>
        <v>39814</v>
      </c>
      <c r="AK177" s="121">
        <f t="shared" si="43"/>
        <v>39814</v>
      </c>
    </row>
    <row r="178" spans="1:37" ht="15">
      <c r="A178" s="113">
        <v>39845</v>
      </c>
      <c r="B178" s="113" t="e">
        <f t="shared" si="45"/>
        <v>#N/A</v>
      </c>
      <c r="C178" s="108" t="e">
        <f t="shared" si="32"/>
        <v>#N/A</v>
      </c>
      <c r="D178" s="114">
        <f t="shared" si="36"/>
        <v>0</v>
      </c>
      <c r="E178" s="114" t="e">
        <f t="shared" si="44"/>
        <v>#N/A</v>
      </c>
      <c r="F178" s="108" t="e">
        <f t="shared" si="37"/>
        <v>#N/A</v>
      </c>
      <c r="G178" s="114">
        <f t="shared" si="38"/>
        <v>0</v>
      </c>
      <c r="H178" s="110">
        <v>178</v>
      </c>
      <c r="I178" s="115">
        <v>0.0063</v>
      </c>
      <c r="J178" s="116">
        <v>0.0031</v>
      </c>
      <c r="K178" s="115">
        <v>0.000451</v>
      </c>
      <c r="L178" s="116">
        <v>-0.0013</v>
      </c>
      <c r="M178" s="117">
        <v>0.0086</v>
      </c>
      <c r="N178" s="118">
        <f>IF(A178&gt;Dados!$C$16,0,IF(A178=Dados!$C$16,1,SUMIF($A$3:$A$500,CONCATENATE("&gt;",TEXT(DATEVALUE(TEXT(A178,"dd/mm/aaaa")),0)),$M$3:$M$500)-SUMIF($A$3:$A$500,CONCATENATE("&gt;",TEXT(Dados!$C$16-1,0)),$M$3:$M$500)+1%))</f>
        <v>0</v>
      </c>
      <c r="O178" s="119">
        <v>0.005</v>
      </c>
      <c r="P178" s="120">
        <f t="shared" si="33"/>
        <v>0.611042</v>
      </c>
      <c r="Q178" s="119">
        <v>0.01</v>
      </c>
      <c r="R178" s="120">
        <f t="shared" si="34"/>
        <v>0.631042</v>
      </c>
      <c r="S178" s="119">
        <v>0.005</v>
      </c>
      <c r="T178" s="120">
        <f t="shared" si="35"/>
        <v>0.611042</v>
      </c>
      <c r="AG178" s="121">
        <f t="shared" si="39"/>
        <v>39845</v>
      </c>
      <c r="AH178" s="121">
        <f t="shared" si="40"/>
        <v>39845</v>
      </c>
      <c r="AI178" s="121">
        <f t="shared" si="41"/>
        <v>39845</v>
      </c>
      <c r="AJ178" s="121">
        <f t="shared" si="42"/>
        <v>39845</v>
      </c>
      <c r="AK178" s="121">
        <f t="shared" si="43"/>
        <v>39845</v>
      </c>
    </row>
    <row r="179" spans="1:37" ht="15">
      <c r="A179" s="113">
        <v>39873</v>
      </c>
      <c r="B179" s="113" t="e">
        <f t="shared" si="45"/>
        <v>#N/A</v>
      </c>
      <c r="C179" s="108" t="e">
        <f t="shared" si="32"/>
        <v>#N/A</v>
      </c>
      <c r="D179" s="114">
        <f t="shared" si="36"/>
        <v>0</v>
      </c>
      <c r="E179" s="114" t="e">
        <f t="shared" si="44"/>
        <v>#N/A</v>
      </c>
      <c r="F179" s="108" t="e">
        <f t="shared" si="37"/>
        <v>#N/A</v>
      </c>
      <c r="G179" s="114">
        <f t="shared" si="38"/>
        <v>0</v>
      </c>
      <c r="H179" s="110">
        <v>179</v>
      </c>
      <c r="I179" s="115">
        <v>0.0011</v>
      </c>
      <c r="J179" s="116">
        <v>0.002</v>
      </c>
      <c r="K179" s="115">
        <v>0.001438</v>
      </c>
      <c r="L179" s="116">
        <v>-0.0084</v>
      </c>
      <c r="M179" s="117">
        <v>0.0097</v>
      </c>
      <c r="N179" s="118">
        <f>IF(A179&gt;Dados!$C$16,0,IF(A179=Dados!$C$16,1,SUMIF($A$3:$A$500,CONCATENATE("&gt;",TEXT(DATEVALUE(TEXT(A179,"dd/mm/aaaa")),0)),$M$3:$M$500)-SUMIF($A$3:$A$500,CONCATENATE("&gt;",TEXT(Dados!$C$16-1,0)),$M$3:$M$500)+1%))</f>
        <v>0</v>
      </c>
      <c r="O179" s="119">
        <v>0.005</v>
      </c>
      <c r="P179" s="120">
        <f t="shared" si="33"/>
        <v>0.606042</v>
      </c>
      <c r="Q179" s="119">
        <v>0.01</v>
      </c>
      <c r="R179" s="120">
        <f t="shared" si="34"/>
        <v>0.621042</v>
      </c>
      <c r="S179" s="119">
        <v>0.005</v>
      </c>
      <c r="T179" s="120">
        <f t="shared" si="35"/>
        <v>0.606042</v>
      </c>
      <c r="AG179" s="121">
        <f t="shared" si="39"/>
        <v>39873</v>
      </c>
      <c r="AH179" s="121">
        <f t="shared" si="40"/>
        <v>39873</v>
      </c>
      <c r="AI179" s="121">
        <f t="shared" si="41"/>
        <v>39873</v>
      </c>
      <c r="AJ179" s="121">
        <f t="shared" si="42"/>
        <v>39873</v>
      </c>
      <c r="AK179" s="121">
        <f t="shared" si="43"/>
        <v>39873</v>
      </c>
    </row>
    <row r="180" spans="1:37" ht="15">
      <c r="A180" s="113">
        <v>39904</v>
      </c>
      <c r="B180" s="113" t="e">
        <f t="shared" si="45"/>
        <v>#N/A</v>
      </c>
      <c r="C180" s="108" t="e">
        <f t="shared" si="32"/>
        <v>#N/A</v>
      </c>
      <c r="D180" s="114">
        <f t="shared" si="36"/>
        <v>0</v>
      </c>
      <c r="E180" s="114" t="e">
        <f t="shared" si="44"/>
        <v>#N/A</v>
      </c>
      <c r="F180" s="108" t="e">
        <f t="shared" si="37"/>
        <v>#N/A</v>
      </c>
      <c r="G180" s="114">
        <f t="shared" si="38"/>
        <v>0</v>
      </c>
      <c r="H180" s="110">
        <v>180</v>
      </c>
      <c r="I180" s="115">
        <v>0.0036</v>
      </c>
      <c r="J180" s="116">
        <v>0.0055</v>
      </c>
      <c r="K180" s="115">
        <v>0.000454</v>
      </c>
      <c r="L180" s="116">
        <v>0.0004</v>
      </c>
      <c r="M180" s="117">
        <v>0.0084</v>
      </c>
      <c r="N180" s="118">
        <f>IF(A180&gt;Dados!$C$16,0,IF(A180=Dados!$C$16,1,SUMIF($A$3:$A$500,CONCATENATE("&gt;",TEXT(DATEVALUE(TEXT(A180,"dd/mm/aaaa")),0)),$M$3:$M$500)-SUMIF($A$3:$A$500,CONCATENATE("&gt;",TEXT(Dados!$C$16-1,0)),$M$3:$M$500)+1%))</f>
        <v>0</v>
      </c>
      <c r="O180" s="119">
        <v>0.005</v>
      </c>
      <c r="P180" s="120">
        <f t="shared" si="33"/>
        <v>0.601042</v>
      </c>
      <c r="Q180" s="119">
        <v>0.01</v>
      </c>
      <c r="R180" s="120">
        <f t="shared" si="34"/>
        <v>0.611042</v>
      </c>
      <c r="S180" s="119">
        <v>0.005</v>
      </c>
      <c r="T180" s="120">
        <f t="shared" si="35"/>
        <v>0.601042</v>
      </c>
      <c r="AG180" s="121">
        <f t="shared" si="39"/>
        <v>39904</v>
      </c>
      <c r="AH180" s="121">
        <f t="shared" si="40"/>
        <v>39904</v>
      </c>
      <c r="AI180" s="121">
        <f t="shared" si="41"/>
        <v>39904</v>
      </c>
      <c r="AJ180" s="121">
        <f t="shared" si="42"/>
        <v>39904</v>
      </c>
      <c r="AK180" s="121">
        <f t="shared" si="43"/>
        <v>39904</v>
      </c>
    </row>
    <row r="181" spans="1:37" ht="15">
      <c r="A181" s="113">
        <v>39934</v>
      </c>
      <c r="B181" s="113" t="e">
        <f t="shared" si="45"/>
        <v>#N/A</v>
      </c>
      <c r="C181" s="108" t="e">
        <f t="shared" si="32"/>
        <v>#N/A</v>
      </c>
      <c r="D181" s="114">
        <f t="shared" si="36"/>
        <v>0</v>
      </c>
      <c r="E181" s="114" t="e">
        <f t="shared" si="44"/>
        <v>#N/A</v>
      </c>
      <c r="F181" s="108" t="e">
        <f t="shared" si="37"/>
        <v>#N/A</v>
      </c>
      <c r="G181" s="114">
        <f t="shared" si="38"/>
        <v>0</v>
      </c>
      <c r="H181" s="110">
        <v>181</v>
      </c>
      <c r="I181" s="115">
        <v>0.0059</v>
      </c>
      <c r="J181" s="116">
        <v>0.006</v>
      </c>
      <c r="K181" s="115">
        <v>0.000449</v>
      </c>
      <c r="L181" s="116">
        <v>0.0018</v>
      </c>
      <c r="M181" s="117">
        <v>0.0077</v>
      </c>
      <c r="N181" s="118">
        <f>IF(A181&gt;Dados!$C$16,0,IF(A181=Dados!$C$16,1,SUMIF($A$3:$A$500,CONCATENATE("&gt;",TEXT(DATEVALUE(TEXT(A181,"dd/mm/aaaa")),0)),$M$3:$M$500)-SUMIF($A$3:$A$500,CONCATENATE("&gt;",TEXT(Dados!$C$16-1,0)),$M$3:$M$500)+1%))</f>
        <v>0</v>
      </c>
      <c r="O181" s="119">
        <v>0.005</v>
      </c>
      <c r="P181" s="120">
        <f t="shared" si="33"/>
        <v>0.596042</v>
      </c>
      <c r="Q181" s="119">
        <v>0.01</v>
      </c>
      <c r="R181" s="120">
        <f t="shared" si="34"/>
        <v>0.601042</v>
      </c>
      <c r="S181" s="119">
        <v>0.005</v>
      </c>
      <c r="T181" s="120">
        <f t="shared" si="35"/>
        <v>0.596042</v>
      </c>
      <c r="AG181" s="121">
        <f t="shared" si="39"/>
        <v>39934</v>
      </c>
      <c r="AH181" s="121">
        <f t="shared" si="40"/>
        <v>39934</v>
      </c>
      <c r="AI181" s="121">
        <f t="shared" si="41"/>
        <v>39934</v>
      </c>
      <c r="AJ181" s="121">
        <f t="shared" si="42"/>
        <v>39934</v>
      </c>
      <c r="AK181" s="121">
        <f t="shared" si="43"/>
        <v>39934</v>
      </c>
    </row>
    <row r="182" spans="1:37" ht="15">
      <c r="A182" s="130">
        <v>39965</v>
      </c>
      <c r="B182" s="129" t="e">
        <f>Dados!S23</f>
        <v>#N/A</v>
      </c>
      <c r="C182" s="108" t="e">
        <f t="shared" si="32"/>
        <v>#N/A</v>
      </c>
      <c r="D182" s="114">
        <f t="shared" si="36"/>
        <v>0</v>
      </c>
      <c r="E182" s="129" t="e">
        <f>Dados!S63</f>
        <v>#N/A</v>
      </c>
      <c r="F182" s="108" t="e">
        <f t="shared" si="37"/>
        <v>#N/A</v>
      </c>
      <c r="G182" s="114">
        <f t="shared" si="38"/>
        <v>0</v>
      </c>
      <c r="H182" s="110">
        <v>182</v>
      </c>
      <c r="I182" s="131">
        <v>0.0038</v>
      </c>
      <c r="J182" s="132">
        <v>0.0042</v>
      </c>
      <c r="K182" s="131">
        <v>0.000656</v>
      </c>
      <c r="L182" s="132">
        <v>-0.0032</v>
      </c>
      <c r="M182" s="133">
        <v>0.0076</v>
      </c>
      <c r="N182" s="118">
        <f>IF(A182&gt;Dados!$C$16,0,IF(A182=Dados!$C$16,1,SUMIF($A$3:$A$500,CONCATENATE("&gt;",TEXT(DATEVALUE(TEXT(A182,"dd/mm/aaaa")),0)),$M$3:$M$500)-SUMIF($A$3:$A$500,CONCATENATE("&gt;",TEXT(Dados!$C$16-1,0)),$M$3:$M$500)+1%))</f>
        <v>0</v>
      </c>
      <c r="O182" s="119">
        <v>0.005</v>
      </c>
      <c r="P182" s="120">
        <f t="shared" si="33"/>
        <v>0.591042</v>
      </c>
      <c r="Q182" s="119">
        <v>0.01</v>
      </c>
      <c r="R182" s="120">
        <f t="shared" si="34"/>
        <v>0.591042</v>
      </c>
      <c r="S182" s="119">
        <v>0.005</v>
      </c>
      <c r="T182" s="120">
        <f t="shared" si="35"/>
        <v>0.591042</v>
      </c>
      <c r="AG182" s="121">
        <f t="shared" si="39"/>
        <v>39965</v>
      </c>
      <c r="AH182" s="121">
        <f t="shared" si="40"/>
        <v>39965</v>
      </c>
      <c r="AI182" s="121">
        <f t="shared" si="41"/>
        <v>39965</v>
      </c>
      <c r="AJ182" s="121">
        <f t="shared" si="42"/>
        <v>39965</v>
      </c>
      <c r="AK182" s="121">
        <f t="shared" si="43"/>
        <v>39965</v>
      </c>
    </row>
    <row r="183" spans="1:37" ht="15">
      <c r="A183" s="134">
        <v>39995</v>
      </c>
      <c r="B183" s="113" t="e">
        <f>B182</f>
        <v>#N/A</v>
      </c>
      <c r="C183" s="108" t="e">
        <f t="shared" si="32"/>
        <v>#N/A</v>
      </c>
      <c r="D183" s="114">
        <f t="shared" si="36"/>
        <v>0</v>
      </c>
      <c r="E183" s="114" t="e">
        <f>E182</f>
        <v>#N/A</v>
      </c>
      <c r="F183" s="108" t="e">
        <f t="shared" si="37"/>
        <v>#N/A</v>
      </c>
      <c r="G183" s="114">
        <f t="shared" si="38"/>
        <v>0</v>
      </c>
      <c r="H183" s="135">
        <v>183</v>
      </c>
      <c r="I183" s="136">
        <v>0.0022</v>
      </c>
      <c r="J183" s="136">
        <v>0.0023</v>
      </c>
      <c r="K183" s="136">
        <v>0.001051</v>
      </c>
      <c r="L183" s="136">
        <v>-0.0064</v>
      </c>
      <c r="M183" s="137">
        <v>0.0079</v>
      </c>
      <c r="N183" s="118">
        <f>IF(A183&gt;Dados!$C$16,0,IF(A183=Dados!$C$16,1,SUMIF($A$3:$A$500,CONCATENATE("&gt;",TEXT(DATEVALUE(TEXT(A183,"dd/mm/aaaa")),0)),$M$3:$M$500)-SUMIF($A$3:$A$500,CONCATENATE("&gt;",TEXT(Dados!$C$16-1,0)),$M$3:$M$500)+1%))</f>
        <v>0</v>
      </c>
      <c r="O183" s="125">
        <v>0.005</v>
      </c>
      <c r="P183" s="120">
        <f t="shared" si="33"/>
        <v>0.586042</v>
      </c>
      <c r="Q183" s="125">
        <v>0.005</v>
      </c>
      <c r="R183" s="120">
        <f t="shared" si="34"/>
        <v>0.586042</v>
      </c>
      <c r="S183" s="125">
        <v>0.005</v>
      </c>
      <c r="T183" s="120">
        <f t="shared" si="35"/>
        <v>0.586042</v>
      </c>
      <c r="AG183" s="121">
        <f t="shared" si="39"/>
        <v>39995</v>
      </c>
      <c r="AH183" s="121">
        <f t="shared" si="40"/>
        <v>39995</v>
      </c>
      <c r="AI183" s="121">
        <f t="shared" si="41"/>
        <v>39995</v>
      </c>
      <c r="AJ183" s="121">
        <f t="shared" si="42"/>
        <v>39995</v>
      </c>
      <c r="AK183" s="121">
        <f t="shared" si="43"/>
        <v>39995</v>
      </c>
    </row>
    <row r="184" spans="1:37" ht="15">
      <c r="A184" s="113">
        <v>40026</v>
      </c>
      <c r="B184" s="113" t="e">
        <f aca="true" t="shared" si="46" ref="B184:B247">B183</f>
        <v>#N/A</v>
      </c>
      <c r="C184" s="108" t="e">
        <f t="shared" si="32"/>
        <v>#N/A</v>
      </c>
      <c r="D184" s="114">
        <f t="shared" si="36"/>
        <v>0</v>
      </c>
      <c r="E184" s="114" t="e">
        <f aca="true" t="shared" si="47" ref="E184:E247">E183</f>
        <v>#N/A</v>
      </c>
      <c r="F184" s="108" t="e">
        <f t="shared" si="37"/>
        <v>#N/A</v>
      </c>
      <c r="G184" s="114">
        <f t="shared" si="38"/>
        <v>0</v>
      </c>
      <c r="H184" s="110">
        <v>184</v>
      </c>
      <c r="I184" s="115">
        <v>0.0023</v>
      </c>
      <c r="J184" s="116">
        <v>0.0008</v>
      </c>
      <c r="K184" s="115">
        <v>0.000197</v>
      </c>
      <c r="L184" s="116">
        <v>0.0009</v>
      </c>
      <c r="M184" s="117">
        <v>0.0069</v>
      </c>
      <c r="N184" s="118">
        <f>IF(A184&gt;Dados!$C$16,0,IF(A184=Dados!$C$16,1,SUMIF($A$3:$A$500,CONCATENATE("&gt;",TEXT(DATEVALUE(TEXT(A184,"dd/mm/aaaa")),0)),$M$3:$M$500)-SUMIF($A$3:$A$500,CONCATENATE("&gt;",TEXT(Dados!$C$16-1,0)),$M$3:$M$500)+1%))</f>
        <v>0</v>
      </c>
      <c r="O184" s="119">
        <v>0.005</v>
      </c>
      <c r="P184" s="120">
        <f t="shared" si="33"/>
        <v>0.581042</v>
      </c>
      <c r="Q184" s="119">
        <v>0.005</v>
      </c>
      <c r="R184" s="120">
        <f t="shared" si="34"/>
        <v>0.581042</v>
      </c>
      <c r="S184" s="119">
        <v>0.005</v>
      </c>
      <c r="T184" s="120">
        <f t="shared" si="35"/>
        <v>0.581042</v>
      </c>
      <c r="AG184" s="121">
        <f t="shared" si="39"/>
        <v>40026</v>
      </c>
      <c r="AH184" s="121">
        <f t="shared" si="40"/>
        <v>40026</v>
      </c>
      <c r="AI184" s="121">
        <f t="shared" si="41"/>
        <v>40026</v>
      </c>
      <c r="AJ184" s="121">
        <f t="shared" si="42"/>
        <v>40026</v>
      </c>
      <c r="AK184" s="121">
        <f t="shared" si="43"/>
        <v>40026</v>
      </c>
    </row>
    <row r="185" spans="1:37" ht="15">
      <c r="A185" s="113">
        <v>40057</v>
      </c>
      <c r="B185" s="113" t="e">
        <f t="shared" si="46"/>
        <v>#N/A</v>
      </c>
      <c r="C185" s="108" t="e">
        <f t="shared" si="32"/>
        <v>#N/A</v>
      </c>
      <c r="D185" s="114">
        <f t="shared" si="36"/>
        <v>0</v>
      </c>
      <c r="E185" s="114" t="e">
        <f t="shared" si="47"/>
        <v>#N/A</v>
      </c>
      <c r="F185" s="108" t="e">
        <f t="shared" si="37"/>
        <v>#N/A</v>
      </c>
      <c r="G185" s="114">
        <f t="shared" si="38"/>
        <v>0</v>
      </c>
      <c r="H185" s="110">
        <v>185</v>
      </c>
      <c r="I185" s="115">
        <v>0.0019</v>
      </c>
      <c r="J185" s="116">
        <v>0.0016</v>
      </c>
      <c r="K185" s="115">
        <v>0</v>
      </c>
      <c r="L185" s="116">
        <v>0.0025</v>
      </c>
      <c r="M185" s="117">
        <v>0.0069</v>
      </c>
      <c r="N185" s="118">
        <f>IF(A185&gt;Dados!$C$16,0,IF(A185=Dados!$C$16,1,SUMIF($A$3:$A$500,CONCATENATE("&gt;",TEXT(DATEVALUE(TEXT(A185,"dd/mm/aaaa")),0)),$M$3:$M$500)-SUMIF($A$3:$A$500,CONCATENATE("&gt;",TEXT(Dados!$C$16-1,0)),$M$3:$M$500)+1%))</f>
        <v>0</v>
      </c>
      <c r="O185" s="119">
        <v>0.005</v>
      </c>
      <c r="P185" s="120">
        <f t="shared" si="33"/>
        <v>0.576042</v>
      </c>
      <c r="Q185" s="119">
        <v>0.005</v>
      </c>
      <c r="R185" s="120">
        <f t="shared" si="34"/>
        <v>0.576042</v>
      </c>
      <c r="S185" s="119">
        <v>0.005</v>
      </c>
      <c r="T185" s="120">
        <f t="shared" si="35"/>
        <v>0.576042</v>
      </c>
      <c r="AC185" s="104">
        <v>1</v>
      </c>
      <c r="AG185" s="121">
        <f t="shared" si="39"/>
        <v>40057</v>
      </c>
      <c r="AH185" s="121">
        <f t="shared" si="40"/>
        <v>40057</v>
      </c>
      <c r="AI185" s="121">
        <f t="shared" si="41"/>
        <v>40057</v>
      </c>
      <c r="AJ185" s="121">
        <f t="shared" si="42"/>
        <v>40057</v>
      </c>
      <c r="AK185" s="121">
        <f t="shared" si="43"/>
        <v>40057</v>
      </c>
    </row>
    <row r="186" spans="1:37" ht="15">
      <c r="A186" s="113">
        <v>40087</v>
      </c>
      <c r="B186" s="113" t="e">
        <f t="shared" si="46"/>
        <v>#N/A</v>
      </c>
      <c r="C186" s="108" t="e">
        <f t="shared" si="32"/>
        <v>#N/A</v>
      </c>
      <c r="D186" s="114">
        <f t="shared" si="36"/>
        <v>0</v>
      </c>
      <c r="E186" s="114" t="e">
        <f t="shared" si="47"/>
        <v>#N/A</v>
      </c>
      <c r="F186" s="108" t="e">
        <f t="shared" si="37"/>
        <v>#N/A</v>
      </c>
      <c r="G186" s="114">
        <f t="shared" si="38"/>
        <v>0</v>
      </c>
      <c r="H186" s="110">
        <v>186</v>
      </c>
      <c r="I186" s="115">
        <v>0.0018</v>
      </c>
      <c r="J186" s="116">
        <v>0.0024</v>
      </c>
      <c r="K186" s="115">
        <v>0</v>
      </c>
      <c r="L186" s="116">
        <v>-0.0004</v>
      </c>
      <c r="M186" s="117">
        <v>0.0069</v>
      </c>
      <c r="N186" s="118">
        <f>IF(A186&gt;Dados!$C$16,0,IF(A186=Dados!$C$16,1,SUMIF($A$3:$A$500,CONCATENATE("&gt;",TEXT(DATEVALUE(TEXT(A186,"dd/mm/aaaa")),0)),$M$3:$M$500)-SUMIF($A$3:$A$500,CONCATENATE("&gt;",TEXT(Dados!$C$16-1,0)),$M$3:$M$500)+1%))</f>
        <v>0</v>
      </c>
      <c r="O186" s="119">
        <v>0.005</v>
      </c>
      <c r="P186" s="120">
        <f t="shared" si="33"/>
        <v>0.571042</v>
      </c>
      <c r="Q186" s="119">
        <v>0.005</v>
      </c>
      <c r="R186" s="120">
        <f t="shared" si="34"/>
        <v>0.571042</v>
      </c>
      <c r="S186" s="119">
        <v>0.005</v>
      </c>
      <c r="T186" s="120">
        <f t="shared" si="35"/>
        <v>0.571042</v>
      </c>
      <c r="AC186" s="104">
        <v>1</v>
      </c>
      <c r="AG186" s="121">
        <f t="shared" si="39"/>
        <v>40087</v>
      </c>
      <c r="AH186" s="121">
        <f t="shared" si="40"/>
        <v>40087</v>
      </c>
      <c r="AI186" s="121">
        <f t="shared" si="41"/>
        <v>40087</v>
      </c>
      <c r="AJ186" s="121">
        <f t="shared" si="42"/>
        <v>40087</v>
      </c>
      <c r="AK186" s="121">
        <f t="shared" si="43"/>
        <v>40087</v>
      </c>
    </row>
    <row r="187" spans="1:37" ht="15">
      <c r="A187" s="113">
        <v>40118</v>
      </c>
      <c r="B187" s="113" t="e">
        <f t="shared" si="46"/>
        <v>#N/A</v>
      </c>
      <c r="C187" s="108" t="e">
        <f t="shared" si="32"/>
        <v>#N/A</v>
      </c>
      <c r="D187" s="114">
        <f t="shared" si="36"/>
        <v>0</v>
      </c>
      <c r="E187" s="114" t="e">
        <f t="shared" si="47"/>
        <v>#N/A</v>
      </c>
      <c r="F187" s="108" t="e">
        <f t="shared" si="37"/>
        <v>#N/A</v>
      </c>
      <c r="G187" s="114">
        <f t="shared" si="38"/>
        <v>0</v>
      </c>
      <c r="H187" s="110">
        <v>187</v>
      </c>
      <c r="I187" s="115">
        <v>0.0044</v>
      </c>
      <c r="J187" s="116">
        <v>0.0037</v>
      </c>
      <c r="K187" s="115">
        <v>0</v>
      </c>
      <c r="L187" s="116">
        <v>0.0007</v>
      </c>
      <c r="M187" s="117">
        <v>0.0066</v>
      </c>
      <c r="N187" s="118">
        <f>IF(A187&gt;Dados!$C$16,0,IF(A187=Dados!$C$16,1,SUMIF($A$3:$A$500,CONCATENATE("&gt;",TEXT(DATEVALUE(TEXT(A187,"dd/mm/aaaa")),0)),$M$3:$M$500)-SUMIF($A$3:$A$500,CONCATENATE("&gt;",TEXT(Dados!$C$16-1,0)),$M$3:$M$500)+1%))</f>
        <v>0</v>
      </c>
      <c r="O187" s="119">
        <v>0.005</v>
      </c>
      <c r="P187" s="120">
        <f t="shared" si="33"/>
        <v>0.566042</v>
      </c>
      <c r="Q187" s="119">
        <v>0.005</v>
      </c>
      <c r="R187" s="120">
        <f t="shared" si="34"/>
        <v>0.566042</v>
      </c>
      <c r="S187" s="119">
        <v>0.005</v>
      </c>
      <c r="T187" s="120">
        <f t="shared" si="35"/>
        <v>0.566042</v>
      </c>
      <c r="AC187" s="104">
        <v>1</v>
      </c>
      <c r="AG187" s="121">
        <f t="shared" si="39"/>
        <v>40118</v>
      </c>
      <c r="AH187" s="121">
        <f t="shared" si="40"/>
        <v>40118</v>
      </c>
      <c r="AI187" s="121">
        <f t="shared" si="41"/>
        <v>40118</v>
      </c>
      <c r="AJ187" s="121">
        <f t="shared" si="42"/>
        <v>40118</v>
      </c>
      <c r="AK187" s="121">
        <f t="shared" si="43"/>
        <v>40118</v>
      </c>
    </row>
    <row r="188" spans="1:37" ht="15">
      <c r="A188" s="113">
        <v>40148</v>
      </c>
      <c r="B188" s="113" t="e">
        <f t="shared" si="46"/>
        <v>#N/A</v>
      </c>
      <c r="C188" s="108" t="e">
        <f t="shared" si="32"/>
        <v>#N/A</v>
      </c>
      <c r="D188" s="114">
        <f t="shared" si="36"/>
        <v>0</v>
      </c>
      <c r="E188" s="114" t="e">
        <f t="shared" si="47"/>
        <v>#N/A</v>
      </c>
      <c r="F188" s="108" t="e">
        <f t="shared" si="37"/>
        <v>#N/A</v>
      </c>
      <c r="G188" s="114">
        <f t="shared" si="38"/>
        <v>0</v>
      </c>
      <c r="H188" s="110">
        <v>188</v>
      </c>
      <c r="I188" s="115">
        <v>0.0038</v>
      </c>
      <c r="J188" s="116">
        <v>0.0024</v>
      </c>
      <c r="K188" s="115">
        <v>0.000533</v>
      </c>
      <c r="L188" s="116">
        <v>-0.0011</v>
      </c>
      <c r="M188" s="117">
        <v>0.0073</v>
      </c>
      <c r="N188" s="118">
        <f>IF(A188&gt;Dados!$C$16,0,IF(A188=Dados!$C$16,1,SUMIF($A$3:$A$500,CONCATENATE("&gt;",TEXT(DATEVALUE(TEXT(A188,"dd/mm/aaaa")),0)),$M$3:$M$500)-SUMIF($A$3:$A$500,CONCATENATE("&gt;",TEXT(Dados!$C$16-1,0)),$M$3:$M$500)+1%))</f>
        <v>0</v>
      </c>
      <c r="O188" s="119">
        <v>0.005</v>
      </c>
      <c r="P188" s="120">
        <f t="shared" si="33"/>
        <v>0.561042</v>
      </c>
      <c r="Q188" s="119">
        <v>0.005</v>
      </c>
      <c r="R188" s="120">
        <f t="shared" si="34"/>
        <v>0.561042</v>
      </c>
      <c r="S188" s="119">
        <v>0.005</v>
      </c>
      <c r="T188" s="120">
        <f t="shared" si="35"/>
        <v>0.561042</v>
      </c>
      <c r="AG188" s="121">
        <f t="shared" si="39"/>
        <v>40148</v>
      </c>
      <c r="AH188" s="121">
        <f t="shared" si="40"/>
        <v>40148</v>
      </c>
      <c r="AI188" s="121">
        <f t="shared" si="41"/>
        <v>40148</v>
      </c>
      <c r="AJ188" s="121">
        <f t="shared" si="42"/>
        <v>40148</v>
      </c>
      <c r="AK188" s="121">
        <f t="shared" si="43"/>
        <v>40148</v>
      </c>
    </row>
    <row r="189" spans="1:37" ht="15">
      <c r="A189" s="113">
        <v>40179</v>
      </c>
      <c r="B189" s="113" t="e">
        <f t="shared" si="46"/>
        <v>#N/A</v>
      </c>
      <c r="C189" s="108" t="e">
        <f t="shared" si="32"/>
        <v>#N/A</v>
      </c>
      <c r="D189" s="114">
        <f t="shared" si="36"/>
        <v>0</v>
      </c>
      <c r="E189" s="114" t="e">
        <f t="shared" si="47"/>
        <v>#N/A</v>
      </c>
      <c r="F189" s="108" t="e">
        <f t="shared" si="37"/>
        <v>#N/A</v>
      </c>
      <c r="G189" s="114">
        <f t="shared" si="38"/>
        <v>0</v>
      </c>
      <c r="H189" s="110">
        <v>189</v>
      </c>
      <c r="I189" s="115">
        <v>0.0052</v>
      </c>
      <c r="J189" s="116">
        <v>0.0088</v>
      </c>
      <c r="K189" s="115">
        <v>0</v>
      </c>
      <c r="L189" s="116">
        <v>0.0101</v>
      </c>
      <c r="M189" s="117">
        <v>0.0066</v>
      </c>
      <c r="N189" s="118">
        <f>IF(A189&gt;Dados!$C$16,0,IF(A189=Dados!$C$16,1,SUMIF($A$3:$A$500,CONCATENATE("&gt;",TEXT(DATEVALUE(TEXT(A189,"dd/mm/aaaa")),0)),$M$3:$M$500)-SUMIF($A$3:$A$500,CONCATENATE("&gt;",TEXT(Dados!$C$16-1,0)),$M$3:$M$500)+1%))</f>
        <v>0</v>
      </c>
      <c r="O189" s="119">
        <v>0.005</v>
      </c>
      <c r="P189" s="120">
        <f t="shared" si="33"/>
        <v>0.556042</v>
      </c>
      <c r="Q189" s="119">
        <v>0.005</v>
      </c>
      <c r="R189" s="120">
        <f t="shared" si="34"/>
        <v>0.556042</v>
      </c>
      <c r="S189" s="119">
        <v>0.005</v>
      </c>
      <c r="T189" s="120">
        <f t="shared" si="35"/>
        <v>0.556042</v>
      </c>
      <c r="AC189" s="104">
        <v>1</v>
      </c>
      <c r="AG189" s="121">
        <f t="shared" si="39"/>
        <v>40179</v>
      </c>
      <c r="AH189" s="121">
        <f t="shared" si="40"/>
        <v>40179</v>
      </c>
      <c r="AI189" s="121">
        <f t="shared" si="41"/>
        <v>40179</v>
      </c>
      <c r="AJ189" s="121">
        <f t="shared" si="42"/>
        <v>40179</v>
      </c>
      <c r="AK189" s="121">
        <f t="shared" si="43"/>
        <v>40179</v>
      </c>
    </row>
    <row r="190" spans="1:37" ht="15">
      <c r="A190" s="113">
        <v>40210</v>
      </c>
      <c r="B190" s="113" t="e">
        <f t="shared" si="46"/>
        <v>#N/A</v>
      </c>
      <c r="C190" s="108" t="e">
        <f t="shared" si="32"/>
        <v>#N/A</v>
      </c>
      <c r="D190" s="114">
        <f t="shared" si="36"/>
        <v>0</v>
      </c>
      <c r="E190" s="114" t="e">
        <f t="shared" si="47"/>
        <v>#N/A</v>
      </c>
      <c r="F190" s="108" t="e">
        <f t="shared" si="37"/>
        <v>#N/A</v>
      </c>
      <c r="G190" s="114">
        <f t="shared" si="38"/>
        <v>0</v>
      </c>
      <c r="H190" s="110">
        <v>190</v>
      </c>
      <c r="I190" s="115">
        <v>0.0094</v>
      </c>
      <c r="J190" s="116">
        <v>0.007</v>
      </c>
      <c r="K190" s="115">
        <v>0</v>
      </c>
      <c r="L190" s="116">
        <v>0.0109</v>
      </c>
      <c r="M190" s="117">
        <v>0.0059</v>
      </c>
      <c r="N190" s="118">
        <f>IF(A190&gt;Dados!$C$16,0,IF(A190=Dados!$C$16,1,SUMIF($A$3:$A$500,CONCATENATE("&gt;",TEXT(DATEVALUE(TEXT(A190,"dd/mm/aaaa")),0)),$M$3:$M$500)-SUMIF($A$3:$A$500,CONCATENATE("&gt;",TEXT(Dados!$C$16-1,0)),$M$3:$M$500)+1%))</f>
        <v>0</v>
      </c>
      <c r="O190" s="119">
        <v>0.005</v>
      </c>
      <c r="P190" s="120">
        <f t="shared" si="33"/>
        <v>0.551042</v>
      </c>
      <c r="Q190" s="119">
        <v>0.005</v>
      </c>
      <c r="R190" s="120">
        <f t="shared" si="34"/>
        <v>0.551042</v>
      </c>
      <c r="S190" s="119">
        <v>0.005</v>
      </c>
      <c r="T190" s="120">
        <f t="shared" si="35"/>
        <v>0.551042</v>
      </c>
      <c r="AC190" s="104">
        <v>1</v>
      </c>
      <c r="AG190" s="121">
        <f t="shared" si="39"/>
        <v>40210</v>
      </c>
      <c r="AH190" s="121">
        <f t="shared" si="40"/>
        <v>40210</v>
      </c>
      <c r="AI190" s="121">
        <f t="shared" si="41"/>
        <v>40210</v>
      </c>
      <c r="AJ190" s="121">
        <f t="shared" si="42"/>
        <v>40210</v>
      </c>
      <c r="AK190" s="121">
        <f t="shared" si="43"/>
        <v>40210</v>
      </c>
    </row>
    <row r="191" spans="1:37" ht="15">
      <c r="A191" s="113">
        <v>40238</v>
      </c>
      <c r="B191" s="113" t="e">
        <f t="shared" si="46"/>
        <v>#N/A</v>
      </c>
      <c r="C191" s="108" t="e">
        <f t="shared" si="32"/>
        <v>#N/A</v>
      </c>
      <c r="D191" s="114">
        <f t="shared" si="36"/>
        <v>0</v>
      </c>
      <c r="E191" s="114" t="e">
        <f t="shared" si="47"/>
        <v>#N/A</v>
      </c>
      <c r="F191" s="108" t="e">
        <f t="shared" si="37"/>
        <v>#N/A</v>
      </c>
      <c r="G191" s="114">
        <f t="shared" si="38"/>
        <v>0</v>
      </c>
      <c r="H191" s="110">
        <v>191</v>
      </c>
      <c r="I191" s="115">
        <v>0.0055</v>
      </c>
      <c r="J191" s="116">
        <v>0.0071</v>
      </c>
      <c r="K191" s="115">
        <v>0.000792</v>
      </c>
      <c r="L191" s="116">
        <v>0.0063</v>
      </c>
      <c r="M191" s="117">
        <v>0.0076</v>
      </c>
      <c r="N191" s="118">
        <f>IF(A191&gt;Dados!$C$16,0,IF(A191=Dados!$C$16,1,SUMIF($A$3:$A$500,CONCATENATE("&gt;",TEXT(DATEVALUE(TEXT(A191,"dd/mm/aaaa")),0)),$M$3:$M$500)-SUMIF($A$3:$A$500,CONCATENATE("&gt;",TEXT(Dados!$C$16-1,0)),$M$3:$M$500)+1%))</f>
        <v>0</v>
      </c>
      <c r="O191" s="119">
        <v>0.005</v>
      </c>
      <c r="P191" s="120">
        <f t="shared" si="33"/>
        <v>0.546042</v>
      </c>
      <c r="Q191" s="119">
        <v>0.005</v>
      </c>
      <c r="R191" s="120">
        <f t="shared" si="34"/>
        <v>0.546042</v>
      </c>
      <c r="S191" s="119">
        <v>0.005</v>
      </c>
      <c r="T191" s="120">
        <f t="shared" si="35"/>
        <v>0.546042</v>
      </c>
      <c r="AG191" s="121">
        <f t="shared" si="39"/>
        <v>40238</v>
      </c>
      <c r="AH191" s="121">
        <f t="shared" si="40"/>
        <v>40238</v>
      </c>
      <c r="AI191" s="121">
        <f t="shared" si="41"/>
        <v>40238</v>
      </c>
      <c r="AJ191" s="121">
        <f t="shared" si="42"/>
        <v>40238</v>
      </c>
      <c r="AK191" s="121">
        <f t="shared" si="43"/>
        <v>40238</v>
      </c>
    </row>
    <row r="192" spans="1:37" ht="15">
      <c r="A192" s="113">
        <v>40269</v>
      </c>
      <c r="B192" s="113" t="e">
        <f t="shared" si="46"/>
        <v>#N/A</v>
      </c>
      <c r="C192" s="108" t="e">
        <f t="shared" si="32"/>
        <v>#N/A</v>
      </c>
      <c r="D192" s="114">
        <f t="shared" si="36"/>
        <v>0</v>
      </c>
      <c r="E192" s="114" t="e">
        <f t="shared" si="47"/>
        <v>#N/A</v>
      </c>
      <c r="F192" s="108" t="e">
        <f t="shared" si="37"/>
        <v>#N/A</v>
      </c>
      <c r="G192" s="114">
        <f t="shared" si="38"/>
        <v>0</v>
      </c>
      <c r="H192" s="110">
        <v>192</v>
      </c>
      <c r="I192" s="115">
        <v>0.0048</v>
      </c>
      <c r="J192" s="116">
        <v>0.0073</v>
      </c>
      <c r="K192" s="115">
        <v>0</v>
      </c>
      <c r="L192" s="116">
        <v>0.0072</v>
      </c>
      <c r="M192" s="117">
        <v>0.0067</v>
      </c>
      <c r="N192" s="118">
        <f>IF(A192&gt;Dados!$C$16,0,IF(A192=Dados!$C$16,1,SUMIF($A$3:$A$500,CONCATENATE("&gt;",TEXT(DATEVALUE(TEXT(A192,"dd/mm/aaaa")),0)),$M$3:$M$500)-SUMIF($A$3:$A$500,CONCATENATE("&gt;",TEXT(Dados!$C$16-1,0)),$M$3:$M$500)+1%))</f>
        <v>0</v>
      </c>
      <c r="O192" s="119">
        <v>0.005</v>
      </c>
      <c r="P192" s="120">
        <f t="shared" si="33"/>
        <v>0.541042</v>
      </c>
      <c r="Q192" s="119">
        <v>0.005</v>
      </c>
      <c r="R192" s="120">
        <f t="shared" si="34"/>
        <v>0.541042</v>
      </c>
      <c r="S192" s="119">
        <v>0.005</v>
      </c>
      <c r="T192" s="120">
        <f t="shared" si="35"/>
        <v>0.541042</v>
      </c>
      <c r="AC192" s="104">
        <v>1</v>
      </c>
      <c r="AG192" s="121">
        <f t="shared" si="39"/>
        <v>40269</v>
      </c>
      <c r="AH192" s="121">
        <f t="shared" si="40"/>
        <v>40269</v>
      </c>
      <c r="AI192" s="121">
        <f t="shared" si="41"/>
        <v>40269</v>
      </c>
      <c r="AJ192" s="121">
        <f t="shared" si="42"/>
        <v>40269</v>
      </c>
      <c r="AK192" s="121">
        <f t="shared" si="43"/>
        <v>40269</v>
      </c>
    </row>
    <row r="193" spans="1:37" ht="15">
      <c r="A193" s="113">
        <v>40299</v>
      </c>
      <c r="B193" s="113" t="e">
        <f t="shared" si="46"/>
        <v>#N/A</v>
      </c>
      <c r="C193" s="108" t="e">
        <f t="shared" si="32"/>
        <v>#N/A</v>
      </c>
      <c r="D193" s="114">
        <f t="shared" si="36"/>
        <v>0</v>
      </c>
      <c r="E193" s="114" t="e">
        <f t="shared" si="47"/>
        <v>#N/A</v>
      </c>
      <c r="F193" s="108" t="e">
        <f t="shared" si="37"/>
        <v>#N/A</v>
      </c>
      <c r="G193" s="114">
        <f t="shared" si="38"/>
        <v>0</v>
      </c>
      <c r="H193" s="110">
        <v>193</v>
      </c>
      <c r="I193" s="115">
        <v>0.0063</v>
      </c>
      <c r="J193" s="116">
        <v>0.0043</v>
      </c>
      <c r="K193" s="115">
        <v>0.00051</v>
      </c>
      <c r="L193" s="116">
        <v>0.0157</v>
      </c>
      <c r="M193" s="117">
        <v>0.0075</v>
      </c>
      <c r="N193" s="118">
        <f>IF(A193&gt;Dados!$C$16,0,IF(A193=Dados!$C$16,1,SUMIF($A$3:$A$500,CONCATENATE("&gt;",TEXT(DATEVALUE(TEXT(A193,"dd/mm/aaaa")),0)),$M$3:$M$500)-SUMIF($A$3:$A$500,CONCATENATE("&gt;",TEXT(Dados!$C$16-1,0)),$M$3:$M$500)+1%))</f>
        <v>0</v>
      </c>
      <c r="O193" s="119">
        <v>0.005</v>
      </c>
      <c r="P193" s="120">
        <f t="shared" si="33"/>
        <v>0.536042</v>
      </c>
      <c r="Q193" s="119">
        <v>0.005</v>
      </c>
      <c r="R193" s="120">
        <f t="shared" si="34"/>
        <v>0.536042</v>
      </c>
      <c r="S193" s="119">
        <v>0.005</v>
      </c>
      <c r="T193" s="120">
        <f t="shared" si="35"/>
        <v>0.536042</v>
      </c>
      <c r="AG193" s="121">
        <f t="shared" si="39"/>
        <v>40299</v>
      </c>
      <c r="AH193" s="121">
        <f t="shared" si="40"/>
        <v>40299</v>
      </c>
      <c r="AI193" s="121">
        <f t="shared" si="41"/>
        <v>40299</v>
      </c>
      <c r="AJ193" s="121">
        <f t="shared" si="42"/>
        <v>40299</v>
      </c>
      <c r="AK193" s="121">
        <f t="shared" si="43"/>
        <v>40299</v>
      </c>
    </row>
    <row r="194" spans="1:37" ht="15">
      <c r="A194" s="113">
        <v>40330</v>
      </c>
      <c r="B194" s="113" t="e">
        <f t="shared" si="46"/>
        <v>#N/A</v>
      </c>
      <c r="C194" s="108" t="e">
        <f t="shared" si="32"/>
        <v>#N/A</v>
      </c>
      <c r="D194" s="114">
        <f t="shared" si="36"/>
        <v>0</v>
      </c>
      <c r="E194" s="114" t="e">
        <f t="shared" si="47"/>
        <v>#N/A</v>
      </c>
      <c r="F194" s="108" t="e">
        <f t="shared" si="37"/>
        <v>#N/A</v>
      </c>
      <c r="G194" s="114">
        <f t="shared" si="38"/>
        <v>0</v>
      </c>
      <c r="H194" s="110">
        <v>194</v>
      </c>
      <c r="I194" s="115">
        <v>0.0019</v>
      </c>
      <c r="J194" s="116">
        <v>-0.0011</v>
      </c>
      <c r="K194" s="115">
        <v>0.000589</v>
      </c>
      <c r="L194" s="116">
        <v>0.0034</v>
      </c>
      <c r="M194" s="117">
        <v>0.0079</v>
      </c>
      <c r="N194" s="118">
        <f>IF(A194&gt;Dados!$C$16,0,IF(A194=Dados!$C$16,1,SUMIF($A$3:$A$500,CONCATENATE("&gt;",TEXT(DATEVALUE(TEXT(A194,"dd/mm/aaaa")),0)),$M$3:$M$500)-SUMIF($A$3:$A$500,CONCATENATE("&gt;",TEXT(Dados!$C$16-1,0)),$M$3:$M$500)+1%))</f>
        <v>0</v>
      </c>
      <c r="O194" s="119">
        <v>0.005</v>
      </c>
      <c r="P194" s="120">
        <f t="shared" si="33"/>
        <v>0.531042</v>
      </c>
      <c r="Q194" s="119">
        <v>0.005</v>
      </c>
      <c r="R194" s="120">
        <f t="shared" si="34"/>
        <v>0.531042</v>
      </c>
      <c r="S194" s="119">
        <v>0.005</v>
      </c>
      <c r="T194" s="120">
        <f t="shared" si="35"/>
        <v>0.531042</v>
      </c>
      <c r="AG194" s="121">
        <f t="shared" si="39"/>
        <v>40330</v>
      </c>
      <c r="AH194" s="121">
        <f t="shared" si="40"/>
        <v>40330</v>
      </c>
      <c r="AI194" s="121">
        <f t="shared" si="41"/>
        <v>40330</v>
      </c>
      <c r="AJ194" s="121">
        <f t="shared" si="42"/>
        <v>40330</v>
      </c>
      <c r="AK194" s="121">
        <f t="shared" si="43"/>
        <v>40330</v>
      </c>
    </row>
    <row r="195" spans="1:37" ht="15">
      <c r="A195" s="113">
        <v>40360</v>
      </c>
      <c r="B195" s="113" t="e">
        <f t="shared" si="46"/>
        <v>#N/A</v>
      </c>
      <c r="C195" s="108" t="e">
        <f aca="true" t="shared" si="48" ref="C195:C258">IF(B195="IPCA-E",I195,IF(B195="INPC",J195,IF(B195="TR",K195,IF(B195="IGP-DI",L195,0))))</f>
        <v>#N/A</v>
      </c>
      <c r="D195" s="114">
        <f t="shared" si="36"/>
        <v>0</v>
      </c>
      <c r="E195" s="114" t="e">
        <f t="shared" si="47"/>
        <v>#N/A</v>
      </c>
      <c r="F195" s="108" t="e">
        <f t="shared" si="37"/>
        <v>#N/A</v>
      </c>
      <c r="G195" s="114">
        <f t="shared" si="38"/>
        <v>0</v>
      </c>
      <c r="H195" s="110">
        <v>195</v>
      </c>
      <c r="I195" s="115">
        <v>-0.0009</v>
      </c>
      <c r="J195" s="116">
        <v>-0.0007</v>
      </c>
      <c r="K195" s="115">
        <v>0.001151</v>
      </c>
      <c r="L195" s="116">
        <v>0.0022</v>
      </c>
      <c r="M195" s="117">
        <v>0.0086</v>
      </c>
      <c r="N195" s="118">
        <f>IF(A195&gt;Dados!$C$16,0,IF(A195=Dados!$C$16,1,SUMIF($A$3:$A$500,CONCATENATE("&gt;",TEXT(DATEVALUE(TEXT(A195,"dd/mm/aaaa")),0)),$M$3:$M$500)-SUMIF($A$3:$A$500,CONCATENATE("&gt;",TEXT(Dados!$C$16-1,0)),$M$3:$M$500)+1%))</f>
        <v>0</v>
      </c>
      <c r="O195" s="119">
        <v>0.005</v>
      </c>
      <c r="P195" s="120">
        <f aca="true" t="shared" si="49" ref="P195:P258">O196+P196</f>
        <v>0.526042</v>
      </c>
      <c r="Q195" s="119">
        <v>0.005</v>
      </c>
      <c r="R195" s="120">
        <f aca="true" t="shared" si="50" ref="R195:R258">Q196+R196</f>
        <v>0.526042</v>
      </c>
      <c r="S195" s="119">
        <v>0.005</v>
      </c>
      <c r="T195" s="120">
        <f aca="true" t="shared" si="51" ref="T195:T258">S196+T196</f>
        <v>0.526042</v>
      </c>
      <c r="AG195" s="121">
        <f t="shared" si="39"/>
        <v>40360</v>
      </c>
      <c r="AH195" s="121">
        <f t="shared" si="40"/>
        <v>40360</v>
      </c>
      <c r="AI195" s="121">
        <f t="shared" si="41"/>
        <v>40360</v>
      </c>
      <c r="AJ195" s="121">
        <f t="shared" si="42"/>
        <v>40360</v>
      </c>
      <c r="AK195" s="121">
        <f t="shared" si="43"/>
        <v>40360</v>
      </c>
    </row>
    <row r="196" spans="1:37" ht="15">
      <c r="A196" s="113">
        <v>40391</v>
      </c>
      <c r="B196" s="113" t="e">
        <f t="shared" si="46"/>
        <v>#N/A</v>
      </c>
      <c r="C196" s="108" t="e">
        <f t="shared" si="48"/>
        <v>#N/A</v>
      </c>
      <c r="D196" s="114">
        <f aca="true" t="shared" si="52" ref="D196:D259">IF(A196&gt;$D$2,0,IF(A196=$D$2,1,D197*(1+C196)))</f>
        <v>0</v>
      </c>
      <c r="E196" s="114" t="e">
        <f t="shared" si="47"/>
        <v>#N/A</v>
      </c>
      <c r="F196" s="108" t="e">
        <f aca="true" t="shared" si="53" ref="F196:F259">IF(E196="IPCA-E",I196,IF(E196="INPC",J196,IF(E196="TR",K196,IF(E196="IGP-DI",L196,IF(E196="SELIC",M196,N196)))))</f>
        <v>#N/A</v>
      </c>
      <c r="G196" s="114">
        <f aca="true" t="shared" si="54" ref="G196:G259">IF(A196&gt;$G$2,0,IF(A196=$G$2,1,G197*(1+F196)))</f>
        <v>0</v>
      </c>
      <c r="H196" s="110">
        <v>196</v>
      </c>
      <c r="I196" s="115">
        <v>-0.0005</v>
      </c>
      <c r="J196" s="116">
        <v>-0.0007</v>
      </c>
      <c r="K196" s="115">
        <v>0.000909</v>
      </c>
      <c r="L196" s="116">
        <v>0.011</v>
      </c>
      <c r="M196" s="117">
        <v>0.0089</v>
      </c>
      <c r="N196" s="118">
        <f>IF(A196&gt;Dados!$C$16,0,IF(A196=Dados!$C$16,1,SUMIF($A$3:$A$500,CONCATENATE("&gt;",TEXT(DATEVALUE(TEXT(A196,"dd/mm/aaaa")),0)),$M$3:$M$500)-SUMIF($A$3:$A$500,CONCATENATE("&gt;",TEXT(Dados!$C$16-1,0)),$M$3:$M$500)+1%))</f>
        <v>0</v>
      </c>
      <c r="O196" s="119">
        <v>0.005</v>
      </c>
      <c r="P196" s="120">
        <f t="shared" si="49"/>
        <v>0.521042</v>
      </c>
      <c r="Q196" s="119">
        <v>0.005</v>
      </c>
      <c r="R196" s="120">
        <f t="shared" si="50"/>
        <v>0.521042</v>
      </c>
      <c r="S196" s="119">
        <v>0.005</v>
      </c>
      <c r="T196" s="120">
        <f t="shared" si="51"/>
        <v>0.521042</v>
      </c>
      <c r="AG196" s="121">
        <f aca="true" t="shared" si="55" ref="AG196:AG259">IF(OR(L196&lt;&gt;0,AD196=1),$A196,"")</f>
        <v>40391</v>
      </c>
      <c r="AH196" s="121">
        <f aca="true" t="shared" si="56" ref="AH196:AH259">IF(OR(J196&lt;&gt;0,AB196=1),$A196,"")</f>
        <v>40391</v>
      </c>
      <c r="AI196" s="121">
        <f aca="true" t="shared" si="57" ref="AI196:AI259">IF(OR(I196&lt;&gt;0,AA196=1),$A196,"")</f>
        <v>40391</v>
      </c>
      <c r="AJ196" s="121">
        <f aca="true" t="shared" si="58" ref="AJ196:AJ259">IF(OR(M196&lt;&gt;0,AE196=1),$A196,"")</f>
        <v>40391</v>
      </c>
      <c r="AK196" s="121">
        <f aca="true" t="shared" si="59" ref="AK196:AK259">IF(OR(K196&lt;&gt;0,AC196=1),$A196,"")</f>
        <v>40391</v>
      </c>
    </row>
    <row r="197" spans="1:37" ht="15">
      <c r="A197" s="113">
        <v>40422</v>
      </c>
      <c r="B197" s="113" t="e">
        <f t="shared" si="46"/>
        <v>#N/A</v>
      </c>
      <c r="C197" s="108" t="e">
        <f t="shared" si="48"/>
        <v>#N/A</v>
      </c>
      <c r="D197" s="114">
        <f t="shared" si="52"/>
        <v>0</v>
      </c>
      <c r="E197" s="114" t="e">
        <f t="shared" si="47"/>
        <v>#N/A</v>
      </c>
      <c r="F197" s="108" t="e">
        <f t="shared" si="53"/>
        <v>#N/A</v>
      </c>
      <c r="G197" s="114">
        <f t="shared" si="54"/>
        <v>0</v>
      </c>
      <c r="H197" s="110">
        <v>197</v>
      </c>
      <c r="I197" s="115">
        <v>0.0031</v>
      </c>
      <c r="J197" s="116">
        <v>0.0054</v>
      </c>
      <c r="K197" s="115">
        <v>0.000702</v>
      </c>
      <c r="L197" s="116">
        <v>0.011</v>
      </c>
      <c r="M197" s="117">
        <v>0.0085</v>
      </c>
      <c r="N197" s="118">
        <f>IF(A197&gt;Dados!$C$16,0,IF(A197=Dados!$C$16,1,SUMIF($A$3:$A$500,CONCATENATE("&gt;",TEXT(DATEVALUE(TEXT(A197,"dd/mm/aaaa")),0)),$M$3:$M$500)-SUMIF($A$3:$A$500,CONCATENATE("&gt;",TEXT(Dados!$C$16-1,0)),$M$3:$M$500)+1%))</f>
        <v>0</v>
      </c>
      <c r="O197" s="119">
        <v>0.005</v>
      </c>
      <c r="P197" s="120">
        <f t="shared" si="49"/>
        <v>0.516042</v>
      </c>
      <c r="Q197" s="119">
        <v>0.005</v>
      </c>
      <c r="R197" s="120">
        <f t="shared" si="50"/>
        <v>0.516042</v>
      </c>
      <c r="S197" s="119">
        <v>0.005</v>
      </c>
      <c r="T197" s="120">
        <f t="shared" si="51"/>
        <v>0.516042</v>
      </c>
      <c r="AG197" s="121">
        <f t="shared" si="55"/>
        <v>40422</v>
      </c>
      <c r="AH197" s="121">
        <f t="shared" si="56"/>
        <v>40422</v>
      </c>
      <c r="AI197" s="121">
        <f t="shared" si="57"/>
        <v>40422</v>
      </c>
      <c r="AJ197" s="121">
        <f t="shared" si="58"/>
        <v>40422</v>
      </c>
      <c r="AK197" s="121">
        <f t="shared" si="59"/>
        <v>40422</v>
      </c>
    </row>
    <row r="198" spans="1:37" ht="15">
      <c r="A198" s="113">
        <v>40452</v>
      </c>
      <c r="B198" s="113" t="e">
        <f t="shared" si="46"/>
        <v>#N/A</v>
      </c>
      <c r="C198" s="108" t="e">
        <f t="shared" si="48"/>
        <v>#N/A</v>
      </c>
      <c r="D198" s="114">
        <f t="shared" si="52"/>
        <v>0</v>
      </c>
      <c r="E198" s="114" t="e">
        <f t="shared" si="47"/>
        <v>#N/A</v>
      </c>
      <c r="F198" s="108" t="e">
        <f t="shared" si="53"/>
        <v>#N/A</v>
      </c>
      <c r="G198" s="114">
        <f t="shared" si="54"/>
        <v>0</v>
      </c>
      <c r="H198" s="110">
        <v>198</v>
      </c>
      <c r="I198" s="115">
        <v>0.0062</v>
      </c>
      <c r="J198" s="116">
        <v>0.0092</v>
      </c>
      <c r="K198" s="115">
        <v>0.000472</v>
      </c>
      <c r="L198" s="116">
        <v>0.0103</v>
      </c>
      <c r="M198" s="117">
        <v>0.0081</v>
      </c>
      <c r="N198" s="118">
        <f>IF(A198&gt;Dados!$C$16,0,IF(A198=Dados!$C$16,1,SUMIF($A$3:$A$500,CONCATENATE("&gt;",TEXT(DATEVALUE(TEXT(A198,"dd/mm/aaaa")),0)),$M$3:$M$500)-SUMIF($A$3:$A$500,CONCATENATE("&gt;",TEXT(Dados!$C$16-1,0)),$M$3:$M$500)+1%))</f>
        <v>0</v>
      </c>
      <c r="O198" s="119">
        <v>0.005</v>
      </c>
      <c r="P198" s="120">
        <f t="shared" si="49"/>
        <v>0.511042</v>
      </c>
      <c r="Q198" s="119">
        <v>0.005</v>
      </c>
      <c r="R198" s="120">
        <f t="shared" si="50"/>
        <v>0.511042</v>
      </c>
      <c r="S198" s="119">
        <v>0.005</v>
      </c>
      <c r="T198" s="120">
        <f t="shared" si="51"/>
        <v>0.511042</v>
      </c>
      <c r="AG198" s="121">
        <f t="shared" si="55"/>
        <v>40452</v>
      </c>
      <c r="AH198" s="121">
        <f t="shared" si="56"/>
        <v>40452</v>
      </c>
      <c r="AI198" s="121">
        <f t="shared" si="57"/>
        <v>40452</v>
      </c>
      <c r="AJ198" s="121">
        <f t="shared" si="58"/>
        <v>40452</v>
      </c>
      <c r="AK198" s="121">
        <f t="shared" si="59"/>
        <v>40452</v>
      </c>
    </row>
    <row r="199" spans="1:37" ht="15">
      <c r="A199" s="113">
        <v>40483</v>
      </c>
      <c r="B199" s="113" t="e">
        <f t="shared" si="46"/>
        <v>#N/A</v>
      </c>
      <c r="C199" s="108" t="e">
        <f t="shared" si="48"/>
        <v>#N/A</v>
      </c>
      <c r="D199" s="114">
        <f t="shared" si="52"/>
        <v>0</v>
      </c>
      <c r="E199" s="114" t="e">
        <f t="shared" si="47"/>
        <v>#N/A</v>
      </c>
      <c r="F199" s="108" t="e">
        <f t="shared" si="53"/>
        <v>#N/A</v>
      </c>
      <c r="G199" s="114">
        <f t="shared" si="54"/>
        <v>0</v>
      </c>
      <c r="H199" s="110">
        <v>199</v>
      </c>
      <c r="I199" s="115">
        <v>0.0086</v>
      </c>
      <c r="J199" s="116">
        <v>0.0103</v>
      </c>
      <c r="K199" s="115">
        <v>0.000336</v>
      </c>
      <c r="L199" s="116">
        <v>0.0158</v>
      </c>
      <c r="M199" s="117">
        <v>0.0081</v>
      </c>
      <c r="N199" s="118">
        <f>IF(A199&gt;Dados!$C$16,0,IF(A199=Dados!$C$16,1,SUMIF($A$3:$A$500,CONCATENATE("&gt;",TEXT(DATEVALUE(TEXT(A199,"dd/mm/aaaa")),0)),$M$3:$M$500)-SUMIF($A$3:$A$500,CONCATENATE("&gt;",TEXT(Dados!$C$16-1,0)),$M$3:$M$500)+1%))</f>
        <v>0</v>
      </c>
      <c r="O199" s="119">
        <v>0.005</v>
      </c>
      <c r="P199" s="120">
        <f t="shared" si="49"/>
        <v>0.506042</v>
      </c>
      <c r="Q199" s="119">
        <v>0.005</v>
      </c>
      <c r="R199" s="120">
        <f t="shared" si="50"/>
        <v>0.506042</v>
      </c>
      <c r="S199" s="119">
        <v>0.005</v>
      </c>
      <c r="T199" s="120">
        <f t="shared" si="51"/>
        <v>0.506042</v>
      </c>
      <c r="AG199" s="121">
        <f t="shared" si="55"/>
        <v>40483</v>
      </c>
      <c r="AH199" s="121">
        <f t="shared" si="56"/>
        <v>40483</v>
      </c>
      <c r="AI199" s="121">
        <f t="shared" si="57"/>
        <v>40483</v>
      </c>
      <c r="AJ199" s="121">
        <f t="shared" si="58"/>
        <v>40483</v>
      </c>
      <c r="AK199" s="121">
        <f t="shared" si="59"/>
        <v>40483</v>
      </c>
    </row>
    <row r="200" spans="1:37" ht="15">
      <c r="A200" s="113">
        <v>40513</v>
      </c>
      <c r="B200" s="113" t="e">
        <f t="shared" si="46"/>
        <v>#N/A</v>
      </c>
      <c r="C200" s="108" t="e">
        <f t="shared" si="48"/>
        <v>#N/A</v>
      </c>
      <c r="D200" s="114">
        <f t="shared" si="52"/>
        <v>0</v>
      </c>
      <c r="E200" s="114" t="e">
        <f t="shared" si="47"/>
        <v>#N/A</v>
      </c>
      <c r="F200" s="108" t="e">
        <f t="shared" si="53"/>
        <v>#N/A</v>
      </c>
      <c r="G200" s="114">
        <f t="shared" si="54"/>
        <v>0</v>
      </c>
      <c r="H200" s="110">
        <v>200</v>
      </c>
      <c r="I200" s="115">
        <v>0.0069</v>
      </c>
      <c r="J200" s="116">
        <v>0.006</v>
      </c>
      <c r="K200" s="115">
        <v>0.001406</v>
      </c>
      <c r="L200" s="116">
        <v>0.0038</v>
      </c>
      <c r="M200" s="117">
        <v>0.0093</v>
      </c>
      <c r="N200" s="118">
        <f>IF(A200&gt;Dados!$C$16,0,IF(A200=Dados!$C$16,1,SUMIF($A$3:$A$500,CONCATENATE("&gt;",TEXT(DATEVALUE(TEXT(A200,"dd/mm/aaaa")),0)),$M$3:$M$500)-SUMIF($A$3:$A$500,CONCATENATE("&gt;",TEXT(Dados!$C$16-1,0)),$M$3:$M$500)+1%))</f>
        <v>0</v>
      </c>
      <c r="O200" s="119">
        <v>0.005</v>
      </c>
      <c r="P200" s="120">
        <f t="shared" si="49"/>
        <v>0.501042</v>
      </c>
      <c r="Q200" s="119">
        <v>0.005</v>
      </c>
      <c r="R200" s="120">
        <f t="shared" si="50"/>
        <v>0.501042</v>
      </c>
      <c r="S200" s="119">
        <v>0.005</v>
      </c>
      <c r="T200" s="120">
        <f t="shared" si="51"/>
        <v>0.501042</v>
      </c>
      <c r="AG200" s="121">
        <f t="shared" si="55"/>
        <v>40513</v>
      </c>
      <c r="AH200" s="121">
        <f t="shared" si="56"/>
        <v>40513</v>
      </c>
      <c r="AI200" s="121">
        <f t="shared" si="57"/>
        <v>40513</v>
      </c>
      <c r="AJ200" s="121">
        <f t="shared" si="58"/>
        <v>40513</v>
      </c>
      <c r="AK200" s="121">
        <f t="shared" si="59"/>
        <v>40513</v>
      </c>
    </row>
    <row r="201" spans="1:37" ht="15">
      <c r="A201" s="113">
        <v>40544</v>
      </c>
      <c r="B201" s="113" t="e">
        <f t="shared" si="46"/>
        <v>#N/A</v>
      </c>
      <c r="C201" s="108" t="e">
        <f t="shared" si="48"/>
        <v>#N/A</v>
      </c>
      <c r="D201" s="114">
        <f t="shared" si="52"/>
        <v>0</v>
      </c>
      <c r="E201" s="114" t="e">
        <f t="shared" si="47"/>
        <v>#N/A</v>
      </c>
      <c r="F201" s="108" t="e">
        <f t="shared" si="53"/>
        <v>#N/A</v>
      </c>
      <c r="G201" s="114">
        <f t="shared" si="54"/>
        <v>0</v>
      </c>
      <c r="H201" s="110">
        <v>201</v>
      </c>
      <c r="I201" s="115">
        <v>0.0076</v>
      </c>
      <c r="J201" s="116">
        <v>0.0094</v>
      </c>
      <c r="K201" s="115">
        <v>0.000715</v>
      </c>
      <c r="L201" s="116">
        <v>0.0098</v>
      </c>
      <c r="M201" s="117">
        <v>0.0086</v>
      </c>
      <c r="N201" s="118">
        <f>IF(A201&gt;Dados!$C$16,0,IF(A201=Dados!$C$16,1,SUMIF($A$3:$A$500,CONCATENATE("&gt;",TEXT(DATEVALUE(TEXT(A201,"dd/mm/aaaa")),0)),$M$3:$M$500)-SUMIF($A$3:$A$500,CONCATENATE("&gt;",TEXT(Dados!$C$16-1,0)),$M$3:$M$500)+1%))</f>
        <v>0</v>
      </c>
      <c r="O201" s="119">
        <v>0.005</v>
      </c>
      <c r="P201" s="120">
        <f t="shared" si="49"/>
        <v>0.496042</v>
      </c>
      <c r="Q201" s="119">
        <v>0.005</v>
      </c>
      <c r="R201" s="120">
        <f t="shared" si="50"/>
        <v>0.496042</v>
      </c>
      <c r="S201" s="119">
        <v>0.005</v>
      </c>
      <c r="T201" s="120">
        <f t="shared" si="51"/>
        <v>0.496042</v>
      </c>
      <c r="AG201" s="121">
        <f t="shared" si="55"/>
        <v>40544</v>
      </c>
      <c r="AH201" s="121">
        <f t="shared" si="56"/>
        <v>40544</v>
      </c>
      <c r="AI201" s="121">
        <f t="shared" si="57"/>
        <v>40544</v>
      </c>
      <c r="AJ201" s="121">
        <f t="shared" si="58"/>
        <v>40544</v>
      </c>
      <c r="AK201" s="121">
        <f t="shared" si="59"/>
        <v>40544</v>
      </c>
    </row>
    <row r="202" spans="1:37" ht="15">
      <c r="A202" s="113">
        <v>40575</v>
      </c>
      <c r="B202" s="113" t="e">
        <f t="shared" si="46"/>
        <v>#N/A</v>
      </c>
      <c r="C202" s="108" t="e">
        <f t="shared" si="48"/>
        <v>#N/A</v>
      </c>
      <c r="D202" s="114">
        <f t="shared" si="52"/>
        <v>0</v>
      </c>
      <c r="E202" s="114" t="e">
        <f t="shared" si="47"/>
        <v>#N/A</v>
      </c>
      <c r="F202" s="108" t="e">
        <f t="shared" si="53"/>
        <v>#N/A</v>
      </c>
      <c r="G202" s="114">
        <f t="shared" si="54"/>
        <v>0</v>
      </c>
      <c r="H202" s="110">
        <v>202</v>
      </c>
      <c r="I202" s="115">
        <v>0.0097</v>
      </c>
      <c r="J202" s="116">
        <v>0.0054</v>
      </c>
      <c r="K202" s="115">
        <v>0.000524</v>
      </c>
      <c r="L202" s="116">
        <v>0.0096</v>
      </c>
      <c r="M202" s="117">
        <v>0.0084</v>
      </c>
      <c r="N202" s="118">
        <f>IF(A202&gt;Dados!$C$16,0,IF(A202=Dados!$C$16,1,SUMIF($A$3:$A$500,CONCATENATE("&gt;",TEXT(DATEVALUE(TEXT(A202,"dd/mm/aaaa")),0)),$M$3:$M$500)-SUMIF($A$3:$A$500,CONCATENATE("&gt;",TEXT(Dados!$C$16-1,0)),$M$3:$M$500)+1%))</f>
        <v>0</v>
      </c>
      <c r="O202" s="119">
        <v>0.005</v>
      </c>
      <c r="P202" s="120">
        <f t="shared" si="49"/>
        <v>0.491042</v>
      </c>
      <c r="Q202" s="119">
        <v>0.005</v>
      </c>
      <c r="R202" s="120">
        <f t="shared" si="50"/>
        <v>0.491042</v>
      </c>
      <c r="S202" s="119">
        <v>0.005</v>
      </c>
      <c r="T202" s="120">
        <f t="shared" si="51"/>
        <v>0.491042</v>
      </c>
      <c r="AG202" s="121">
        <f t="shared" si="55"/>
        <v>40575</v>
      </c>
      <c r="AH202" s="121">
        <f t="shared" si="56"/>
        <v>40575</v>
      </c>
      <c r="AI202" s="121">
        <f t="shared" si="57"/>
        <v>40575</v>
      </c>
      <c r="AJ202" s="121">
        <f t="shared" si="58"/>
        <v>40575</v>
      </c>
      <c r="AK202" s="121">
        <f t="shared" si="59"/>
        <v>40575</v>
      </c>
    </row>
    <row r="203" spans="1:37" ht="15">
      <c r="A203" s="113">
        <v>40603</v>
      </c>
      <c r="B203" s="113" t="e">
        <f t="shared" si="46"/>
        <v>#N/A</v>
      </c>
      <c r="C203" s="108" t="e">
        <f t="shared" si="48"/>
        <v>#N/A</v>
      </c>
      <c r="D203" s="114">
        <f t="shared" si="52"/>
        <v>0</v>
      </c>
      <c r="E203" s="114" t="e">
        <f t="shared" si="47"/>
        <v>#N/A</v>
      </c>
      <c r="F203" s="108" t="e">
        <f t="shared" si="53"/>
        <v>#N/A</v>
      </c>
      <c r="G203" s="114">
        <f t="shared" si="54"/>
        <v>0</v>
      </c>
      <c r="H203" s="110">
        <v>203</v>
      </c>
      <c r="I203" s="115">
        <v>0.006</v>
      </c>
      <c r="J203" s="116">
        <v>0.0066</v>
      </c>
      <c r="K203" s="115">
        <v>0.001212</v>
      </c>
      <c r="L203" s="116">
        <v>0.0061</v>
      </c>
      <c r="M203" s="117">
        <v>0.0092</v>
      </c>
      <c r="N203" s="118">
        <f>IF(A203&gt;Dados!$C$16,0,IF(A203=Dados!$C$16,1,SUMIF($A$3:$A$500,CONCATENATE("&gt;",TEXT(DATEVALUE(TEXT(A203,"dd/mm/aaaa")),0)),$M$3:$M$500)-SUMIF($A$3:$A$500,CONCATENATE("&gt;",TEXT(Dados!$C$16-1,0)),$M$3:$M$500)+1%))</f>
        <v>0</v>
      </c>
      <c r="O203" s="119">
        <v>0.005</v>
      </c>
      <c r="P203" s="120">
        <f t="shared" si="49"/>
        <v>0.486042</v>
      </c>
      <c r="Q203" s="119">
        <v>0.005</v>
      </c>
      <c r="R203" s="120">
        <f t="shared" si="50"/>
        <v>0.486042</v>
      </c>
      <c r="S203" s="119">
        <v>0.005</v>
      </c>
      <c r="T203" s="120">
        <f t="shared" si="51"/>
        <v>0.486042</v>
      </c>
      <c r="AG203" s="121">
        <f t="shared" si="55"/>
        <v>40603</v>
      </c>
      <c r="AH203" s="121">
        <f t="shared" si="56"/>
        <v>40603</v>
      </c>
      <c r="AI203" s="121">
        <f t="shared" si="57"/>
        <v>40603</v>
      </c>
      <c r="AJ203" s="121">
        <f t="shared" si="58"/>
        <v>40603</v>
      </c>
      <c r="AK203" s="121">
        <f t="shared" si="59"/>
        <v>40603</v>
      </c>
    </row>
    <row r="204" spans="1:37" ht="15">
      <c r="A204" s="113">
        <v>40634</v>
      </c>
      <c r="B204" s="113" t="e">
        <f t="shared" si="46"/>
        <v>#N/A</v>
      </c>
      <c r="C204" s="108" t="e">
        <f t="shared" si="48"/>
        <v>#N/A</v>
      </c>
      <c r="D204" s="114">
        <f t="shared" si="52"/>
        <v>0</v>
      </c>
      <c r="E204" s="114" t="e">
        <f t="shared" si="47"/>
        <v>#N/A</v>
      </c>
      <c r="F204" s="108" t="e">
        <f t="shared" si="53"/>
        <v>#N/A</v>
      </c>
      <c r="G204" s="114">
        <f t="shared" si="54"/>
        <v>0</v>
      </c>
      <c r="H204" s="110">
        <v>204</v>
      </c>
      <c r="I204" s="115">
        <v>0.0077</v>
      </c>
      <c r="J204" s="116">
        <v>0.0072</v>
      </c>
      <c r="K204" s="115">
        <v>0.000369</v>
      </c>
      <c r="L204" s="116">
        <v>0.005</v>
      </c>
      <c r="M204" s="117">
        <v>0.0084</v>
      </c>
      <c r="N204" s="118">
        <f>IF(A204&gt;Dados!$C$16,0,IF(A204=Dados!$C$16,1,SUMIF($A$3:$A$500,CONCATENATE("&gt;",TEXT(DATEVALUE(TEXT(A204,"dd/mm/aaaa")),0)),$M$3:$M$500)-SUMIF($A$3:$A$500,CONCATENATE("&gt;",TEXT(Dados!$C$16-1,0)),$M$3:$M$500)+1%))</f>
        <v>0</v>
      </c>
      <c r="O204" s="119">
        <v>0.005</v>
      </c>
      <c r="P204" s="120">
        <f t="shared" si="49"/>
        <v>0.481042</v>
      </c>
      <c r="Q204" s="119">
        <v>0.005</v>
      </c>
      <c r="R204" s="120">
        <f t="shared" si="50"/>
        <v>0.481042</v>
      </c>
      <c r="S204" s="119">
        <v>0.005</v>
      </c>
      <c r="T204" s="120">
        <f t="shared" si="51"/>
        <v>0.481042</v>
      </c>
      <c r="AG204" s="121">
        <f t="shared" si="55"/>
        <v>40634</v>
      </c>
      <c r="AH204" s="121">
        <f t="shared" si="56"/>
        <v>40634</v>
      </c>
      <c r="AI204" s="121">
        <f t="shared" si="57"/>
        <v>40634</v>
      </c>
      <c r="AJ204" s="121">
        <f t="shared" si="58"/>
        <v>40634</v>
      </c>
      <c r="AK204" s="121">
        <f t="shared" si="59"/>
        <v>40634</v>
      </c>
    </row>
    <row r="205" spans="1:37" ht="15">
      <c r="A205" s="113">
        <v>40664</v>
      </c>
      <c r="B205" s="113" t="e">
        <f t="shared" si="46"/>
        <v>#N/A</v>
      </c>
      <c r="C205" s="108" t="e">
        <f t="shared" si="48"/>
        <v>#N/A</v>
      </c>
      <c r="D205" s="114">
        <f t="shared" si="52"/>
        <v>0</v>
      </c>
      <c r="E205" s="114" t="e">
        <f t="shared" si="47"/>
        <v>#N/A</v>
      </c>
      <c r="F205" s="108" t="e">
        <f t="shared" si="53"/>
        <v>#N/A</v>
      </c>
      <c r="G205" s="114">
        <f t="shared" si="54"/>
        <v>0</v>
      </c>
      <c r="H205" s="110">
        <v>205</v>
      </c>
      <c r="I205" s="115">
        <v>0.007</v>
      </c>
      <c r="J205" s="116">
        <v>0.0057</v>
      </c>
      <c r="K205" s="115">
        <v>0.00157</v>
      </c>
      <c r="L205" s="116">
        <v>0.0001</v>
      </c>
      <c r="M205" s="117">
        <v>0.0099</v>
      </c>
      <c r="N205" s="118">
        <f>IF(A205&gt;Dados!$C$16,0,IF(A205=Dados!$C$16,1,SUMIF($A$3:$A$500,CONCATENATE("&gt;",TEXT(DATEVALUE(TEXT(A205,"dd/mm/aaaa")),0)),$M$3:$M$500)-SUMIF($A$3:$A$500,CONCATENATE("&gt;",TEXT(Dados!$C$16-1,0)),$M$3:$M$500)+1%))</f>
        <v>0</v>
      </c>
      <c r="O205" s="119">
        <v>0.005</v>
      </c>
      <c r="P205" s="120">
        <f t="shared" si="49"/>
        <v>0.476042</v>
      </c>
      <c r="Q205" s="119">
        <v>0.005</v>
      </c>
      <c r="R205" s="120">
        <f t="shared" si="50"/>
        <v>0.476042</v>
      </c>
      <c r="S205" s="119">
        <v>0.005</v>
      </c>
      <c r="T205" s="120">
        <f t="shared" si="51"/>
        <v>0.476042</v>
      </c>
      <c r="AG205" s="121">
        <f t="shared" si="55"/>
        <v>40664</v>
      </c>
      <c r="AH205" s="121">
        <f t="shared" si="56"/>
        <v>40664</v>
      </c>
      <c r="AI205" s="121">
        <f t="shared" si="57"/>
        <v>40664</v>
      </c>
      <c r="AJ205" s="121">
        <f t="shared" si="58"/>
        <v>40664</v>
      </c>
      <c r="AK205" s="121">
        <f t="shared" si="59"/>
        <v>40664</v>
      </c>
    </row>
    <row r="206" spans="1:37" ht="15">
      <c r="A206" s="113">
        <v>40695</v>
      </c>
      <c r="B206" s="113" t="e">
        <f t="shared" si="46"/>
        <v>#N/A</v>
      </c>
      <c r="C206" s="108" t="e">
        <f t="shared" si="48"/>
        <v>#N/A</v>
      </c>
      <c r="D206" s="114">
        <f t="shared" si="52"/>
        <v>0</v>
      </c>
      <c r="E206" s="114" t="e">
        <f t="shared" si="47"/>
        <v>#N/A</v>
      </c>
      <c r="F206" s="108" t="e">
        <f t="shared" si="53"/>
        <v>#N/A</v>
      </c>
      <c r="G206" s="114">
        <f t="shared" si="54"/>
        <v>0</v>
      </c>
      <c r="H206" s="110">
        <v>206</v>
      </c>
      <c r="I206" s="115">
        <v>0.0023</v>
      </c>
      <c r="J206" s="116">
        <v>0.0022</v>
      </c>
      <c r="K206" s="115">
        <v>0.001114</v>
      </c>
      <c r="L206" s="116">
        <v>-0.0013</v>
      </c>
      <c r="M206" s="117">
        <v>0.0096</v>
      </c>
      <c r="N206" s="118">
        <f>IF(A206&gt;Dados!$C$16,0,IF(A206=Dados!$C$16,1,SUMIF($A$3:$A$500,CONCATENATE("&gt;",TEXT(DATEVALUE(TEXT(A206,"dd/mm/aaaa")),0)),$M$3:$M$500)-SUMIF($A$3:$A$500,CONCATENATE("&gt;",TEXT(Dados!$C$16-1,0)),$M$3:$M$500)+1%))</f>
        <v>0</v>
      </c>
      <c r="O206" s="119">
        <v>0.005</v>
      </c>
      <c r="P206" s="120">
        <f t="shared" si="49"/>
        <v>0.471042</v>
      </c>
      <c r="Q206" s="119">
        <v>0.005</v>
      </c>
      <c r="R206" s="120">
        <f t="shared" si="50"/>
        <v>0.471042</v>
      </c>
      <c r="S206" s="119">
        <v>0.005</v>
      </c>
      <c r="T206" s="120">
        <f t="shared" si="51"/>
        <v>0.471042</v>
      </c>
      <c r="AG206" s="121">
        <f t="shared" si="55"/>
        <v>40695</v>
      </c>
      <c r="AH206" s="121">
        <f t="shared" si="56"/>
        <v>40695</v>
      </c>
      <c r="AI206" s="121">
        <f t="shared" si="57"/>
        <v>40695</v>
      </c>
      <c r="AJ206" s="121">
        <f t="shared" si="58"/>
        <v>40695</v>
      </c>
      <c r="AK206" s="121">
        <f t="shared" si="59"/>
        <v>40695</v>
      </c>
    </row>
    <row r="207" spans="1:37" ht="15">
      <c r="A207" s="113">
        <v>40725</v>
      </c>
      <c r="B207" s="113" t="e">
        <f t="shared" si="46"/>
        <v>#N/A</v>
      </c>
      <c r="C207" s="108" t="e">
        <f t="shared" si="48"/>
        <v>#N/A</v>
      </c>
      <c r="D207" s="114">
        <f t="shared" si="52"/>
        <v>0</v>
      </c>
      <c r="E207" s="114" t="e">
        <f t="shared" si="47"/>
        <v>#N/A</v>
      </c>
      <c r="F207" s="108" t="e">
        <f t="shared" si="53"/>
        <v>#N/A</v>
      </c>
      <c r="G207" s="114">
        <f t="shared" si="54"/>
        <v>0</v>
      </c>
      <c r="H207" s="110">
        <v>207</v>
      </c>
      <c r="I207" s="115">
        <v>0.001</v>
      </c>
      <c r="J207" s="116">
        <v>0</v>
      </c>
      <c r="K207" s="115">
        <v>0.001229</v>
      </c>
      <c r="L207" s="116">
        <v>-0.0005</v>
      </c>
      <c r="M207" s="117">
        <v>0.0097</v>
      </c>
      <c r="N207" s="118">
        <f>IF(A207&gt;Dados!$C$16,0,IF(A207=Dados!$C$16,1,SUMIF($A$3:$A$500,CONCATENATE("&gt;",TEXT(DATEVALUE(TEXT(A207,"dd/mm/aaaa")),0)),$M$3:$M$500)-SUMIF($A$3:$A$500,CONCATENATE("&gt;",TEXT(Dados!$C$16-1,0)),$M$3:$M$500)+1%))</f>
        <v>0</v>
      </c>
      <c r="O207" s="119">
        <v>0.005</v>
      </c>
      <c r="P207" s="120">
        <f t="shared" si="49"/>
        <v>0.466042</v>
      </c>
      <c r="Q207" s="119">
        <v>0.005</v>
      </c>
      <c r="R207" s="120">
        <f t="shared" si="50"/>
        <v>0.466042</v>
      </c>
      <c r="S207" s="119">
        <v>0.005</v>
      </c>
      <c r="T207" s="120">
        <f t="shared" si="51"/>
        <v>0.466042</v>
      </c>
      <c r="AB207" s="104">
        <v>1</v>
      </c>
      <c r="AG207" s="121">
        <f t="shared" si="55"/>
        <v>40725</v>
      </c>
      <c r="AH207" s="121">
        <f t="shared" si="56"/>
        <v>40725</v>
      </c>
      <c r="AI207" s="121">
        <f t="shared" si="57"/>
        <v>40725</v>
      </c>
      <c r="AJ207" s="121">
        <f t="shared" si="58"/>
        <v>40725</v>
      </c>
      <c r="AK207" s="121">
        <f t="shared" si="59"/>
        <v>40725</v>
      </c>
    </row>
    <row r="208" spans="1:37" ht="15">
      <c r="A208" s="113">
        <v>40756</v>
      </c>
      <c r="B208" s="113" t="e">
        <f t="shared" si="46"/>
        <v>#N/A</v>
      </c>
      <c r="C208" s="108" t="e">
        <f t="shared" si="48"/>
        <v>#N/A</v>
      </c>
      <c r="D208" s="114">
        <f t="shared" si="52"/>
        <v>0</v>
      </c>
      <c r="E208" s="114" t="e">
        <f t="shared" si="47"/>
        <v>#N/A</v>
      </c>
      <c r="F208" s="108" t="e">
        <f t="shared" si="53"/>
        <v>#N/A</v>
      </c>
      <c r="G208" s="114">
        <f t="shared" si="54"/>
        <v>0</v>
      </c>
      <c r="H208" s="110">
        <v>208</v>
      </c>
      <c r="I208" s="115">
        <v>0.0027</v>
      </c>
      <c r="J208" s="116">
        <v>0.0042</v>
      </c>
      <c r="K208" s="115">
        <v>0.002076</v>
      </c>
      <c r="L208" s="116">
        <v>0.0061</v>
      </c>
      <c r="M208" s="117">
        <v>0.0107</v>
      </c>
      <c r="N208" s="118">
        <f>IF(A208&gt;Dados!$C$16,0,IF(A208=Dados!$C$16,1,SUMIF($A$3:$A$500,CONCATENATE("&gt;",TEXT(DATEVALUE(TEXT(A208,"dd/mm/aaaa")),0)),$M$3:$M$500)-SUMIF($A$3:$A$500,CONCATENATE("&gt;",TEXT(Dados!$C$16-1,0)),$M$3:$M$500)+1%))</f>
        <v>0</v>
      </c>
      <c r="O208" s="119">
        <v>0.005</v>
      </c>
      <c r="P208" s="120">
        <f t="shared" si="49"/>
        <v>0.461042</v>
      </c>
      <c r="Q208" s="119">
        <v>0.005</v>
      </c>
      <c r="R208" s="120">
        <f t="shared" si="50"/>
        <v>0.461042</v>
      </c>
      <c r="S208" s="119">
        <v>0.005</v>
      </c>
      <c r="T208" s="120">
        <f t="shared" si="51"/>
        <v>0.461042</v>
      </c>
      <c r="AG208" s="121">
        <f t="shared" si="55"/>
        <v>40756</v>
      </c>
      <c r="AH208" s="121">
        <f t="shared" si="56"/>
        <v>40756</v>
      </c>
      <c r="AI208" s="121">
        <f t="shared" si="57"/>
        <v>40756</v>
      </c>
      <c r="AJ208" s="121">
        <f t="shared" si="58"/>
        <v>40756</v>
      </c>
      <c r="AK208" s="121">
        <f t="shared" si="59"/>
        <v>40756</v>
      </c>
    </row>
    <row r="209" spans="1:37" ht="15">
      <c r="A209" s="113">
        <v>40787</v>
      </c>
      <c r="B209" s="113" t="e">
        <f t="shared" si="46"/>
        <v>#N/A</v>
      </c>
      <c r="C209" s="108" t="e">
        <f t="shared" si="48"/>
        <v>#N/A</v>
      </c>
      <c r="D209" s="114">
        <f t="shared" si="52"/>
        <v>0</v>
      </c>
      <c r="E209" s="114" t="e">
        <f t="shared" si="47"/>
        <v>#N/A</v>
      </c>
      <c r="F209" s="108" t="e">
        <f t="shared" si="53"/>
        <v>#N/A</v>
      </c>
      <c r="G209" s="114">
        <f t="shared" si="54"/>
        <v>0</v>
      </c>
      <c r="H209" s="110">
        <v>209</v>
      </c>
      <c r="I209" s="115">
        <v>0.0053</v>
      </c>
      <c r="J209" s="116">
        <v>0.0045</v>
      </c>
      <c r="K209" s="115">
        <v>0.001003</v>
      </c>
      <c r="L209" s="116">
        <v>0.0075</v>
      </c>
      <c r="M209" s="117">
        <v>0.0094</v>
      </c>
      <c r="N209" s="118">
        <f>IF(A209&gt;Dados!$C$16,0,IF(A209=Dados!$C$16,1,SUMIF($A$3:$A$500,CONCATENATE("&gt;",TEXT(DATEVALUE(TEXT(A209,"dd/mm/aaaa")),0)),$M$3:$M$500)-SUMIF($A$3:$A$500,CONCATENATE("&gt;",TEXT(Dados!$C$16-1,0)),$M$3:$M$500)+1%))</f>
        <v>0</v>
      </c>
      <c r="O209" s="119">
        <v>0.005</v>
      </c>
      <c r="P209" s="120">
        <f t="shared" si="49"/>
        <v>0.456042</v>
      </c>
      <c r="Q209" s="119">
        <v>0.005</v>
      </c>
      <c r="R209" s="120">
        <f t="shared" si="50"/>
        <v>0.456042</v>
      </c>
      <c r="S209" s="119">
        <v>0.005</v>
      </c>
      <c r="T209" s="120">
        <f t="shared" si="51"/>
        <v>0.456042</v>
      </c>
      <c r="AG209" s="121">
        <f t="shared" si="55"/>
        <v>40787</v>
      </c>
      <c r="AH209" s="121">
        <f t="shared" si="56"/>
        <v>40787</v>
      </c>
      <c r="AI209" s="121">
        <f t="shared" si="57"/>
        <v>40787</v>
      </c>
      <c r="AJ209" s="121">
        <f t="shared" si="58"/>
        <v>40787</v>
      </c>
      <c r="AK209" s="121">
        <f t="shared" si="59"/>
        <v>40787</v>
      </c>
    </row>
    <row r="210" spans="1:37" ht="15">
      <c r="A210" s="113">
        <v>40817</v>
      </c>
      <c r="B210" s="113" t="e">
        <f t="shared" si="46"/>
        <v>#N/A</v>
      </c>
      <c r="C210" s="108" t="e">
        <f t="shared" si="48"/>
        <v>#N/A</v>
      </c>
      <c r="D210" s="114">
        <f t="shared" si="52"/>
        <v>0</v>
      </c>
      <c r="E210" s="114" t="e">
        <f t="shared" si="47"/>
        <v>#N/A</v>
      </c>
      <c r="F210" s="108" t="e">
        <f t="shared" si="53"/>
        <v>#N/A</v>
      </c>
      <c r="G210" s="114">
        <f t="shared" si="54"/>
        <v>0</v>
      </c>
      <c r="H210" s="110">
        <v>210</v>
      </c>
      <c r="I210" s="115">
        <v>0.0042</v>
      </c>
      <c r="J210" s="116">
        <v>0.0032</v>
      </c>
      <c r="K210" s="115">
        <v>0.00062</v>
      </c>
      <c r="L210" s="116">
        <v>0.004</v>
      </c>
      <c r="M210" s="117">
        <v>0.0088</v>
      </c>
      <c r="N210" s="118">
        <f>IF(A210&gt;Dados!$C$16,0,IF(A210=Dados!$C$16,1,SUMIF($A$3:$A$500,CONCATENATE("&gt;",TEXT(DATEVALUE(TEXT(A210,"dd/mm/aaaa")),0)),$M$3:$M$500)-SUMIF($A$3:$A$500,CONCATENATE("&gt;",TEXT(Dados!$C$16-1,0)),$M$3:$M$500)+1%))</f>
        <v>0</v>
      </c>
      <c r="O210" s="119">
        <v>0.005</v>
      </c>
      <c r="P210" s="120">
        <f t="shared" si="49"/>
        <v>0.451042</v>
      </c>
      <c r="Q210" s="119">
        <v>0.005</v>
      </c>
      <c r="R210" s="120">
        <f t="shared" si="50"/>
        <v>0.451042</v>
      </c>
      <c r="S210" s="119">
        <v>0.005</v>
      </c>
      <c r="T210" s="120">
        <f t="shared" si="51"/>
        <v>0.451042</v>
      </c>
      <c r="AG210" s="121">
        <f t="shared" si="55"/>
        <v>40817</v>
      </c>
      <c r="AH210" s="121">
        <f t="shared" si="56"/>
        <v>40817</v>
      </c>
      <c r="AI210" s="121">
        <f t="shared" si="57"/>
        <v>40817</v>
      </c>
      <c r="AJ210" s="121">
        <f t="shared" si="58"/>
        <v>40817</v>
      </c>
      <c r="AK210" s="121">
        <f t="shared" si="59"/>
        <v>40817</v>
      </c>
    </row>
    <row r="211" spans="1:37" ht="15">
      <c r="A211" s="113">
        <v>40848</v>
      </c>
      <c r="B211" s="113" t="e">
        <f t="shared" si="46"/>
        <v>#N/A</v>
      </c>
      <c r="C211" s="108" t="e">
        <f t="shared" si="48"/>
        <v>#N/A</v>
      </c>
      <c r="D211" s="114">
        <f t="shared" si="52"/>
        <v>0</v>
      </c>
      <c r="E211" s="114" t="e">
        <f t="shared" si="47"/>
        <v>#N/A</v>
      </c>
      <c r="F211" s="108" t="e">
        <f t="shared" si="53"/>
        <v>#N/A</v>
      </c>
      <c r="G211" s="114">
        <f t="shared" si="54"/>
        <v>0</v>
      </c>
      <c r="H211" s="110">
        <v>211</v>
      </c>
      <c r="I211" s="115">
        <v>0.0046</v>
      </c>
      <c r="J211" s="116">
        <v>0.0057</v>
      </c>
      <c r="K211" s="115">
        <v>0.000645</v>
      </c>
      <c r="L211" s="116">
        <v>0.0043</v>
      </c>
      <c r="M211" s="117">
        <v>0.0086</v>
      </c>
      <c r="N211" s="118">
        <f>IF(A211&gt;Dados!$C$16,0,IF(A211=Dados!$C$16,1,SUMIF($A$3:$A$500,CONCATENATE("&gt;",TEXT(DATEVALUE(TEXT(A211,"dd/mm/aaaa")),0)),$M$3:$M$500)-SUMIF($A$3:$A$500,CONCATENATE("&gt;",TEXT(Dados!$C$16-1,0)),$M$3:$M$500)+1%))</f>
        <v>0</v>
      </c>
      <c r="O211" s="119">
        <v>0.005</v>
      </c>
      <c r="P211" s="120">
        <f t="shared" si="49"/>
        <v>0.446042</v>
      </c>
      <c r="Q211" s="119">
        <v>0.005</v>
      </c>
      <c r="R211" s="120">
        <f t="shared" si="50"/>
        <v>0.446042</v>
      </c>
      <c r="S211" s="119">
        <v>0.005</v>
      </c>
      <c r="T211" s="120">
        <f t="shared" si="51"/>
        <v>0.446042</v>
      </c>
      <c r="AG211" s="121">
        <f t="shared" si="55"/>
        <v>40848</v>
      </c>
      <c r="AH211" s="121">
        <f t="shared" si="56"/>
        <v>40848</v>
      </c>
      <c r="AI211" s="121">
        <f t="shared" si="57"/>
        <v>40848</v>
      </c>
      <c r="AJ211" s="121">
        <f t="shared" si="58"/>
        <v>40848</v>
      </c>
      <c r="AK211" s="121">
        <f t="shared" si="59"/>
        <v>40848</v>
      </c>
    </row>
    <row r="212" spans="1:37" ht="15">
      <c r="A212" s="113">
        <v>40878</v>
      </c>
      <c r="B212" s="113" t="e">
        <f t="shared" si="46"/>
        <v>#N/A</v>
      </c>
      <c r="C212" s="108" t="e">
        <f t="shared" si="48"/>
        <v>#N/A</v>
      </c>
      <c r="D212" s="114">
        <f t="shared" si="52"/>
        <v>0</v>
      </c>
      <c r="E212" s="114" t="e">
        <f t="shared" si="47"/>
        <v>#N/A</v>
      </c>
      <c r="F212" s="108" t="e">
        <f t="shared" si="53"/>
        <v>#N/A</v>
      </c>
      <c r="G212" s="114">
        <f t="shared" si="54"/>
        <v>0</v>
      </c>
      <c r="H212" s="110">
        <v>212</v>
      </c>
      <c r="I212" s="115">
        <v>0.0056</v>
      </c>
      <c r="J212" s="116">
        <v>0.0051</v>
      </c>
      <c r="K212" s="115">
        <v>0.000937</v>
      </c>
      <c r="L212" s="116">
        <v>-0.0016</v>
      </c>
      <c r="M212" s="117">
        <v>0.0091</v>
      </c>
      <c r="N212" s="118">
        <f>IF(A212&gt;Dados!$C$16,0,IF(A212=Dados!$C$16,1,SUMIF($A$3:$A$500,CONCATENATE("&gt;",TEXT(DATEVALUE(TEXT(A212,"dd/mm/aaaa")),0)),$M$3:$M$500)-SUMIF($A$3:$A$500,CONCATENATE("&gt;",TEXT(Dados!$C$16-1,0)),$M$3:$M$500)+1%))</f>
        <v>0</v>
      </c>
      <c r="O212" s="119">
        <v>0.005</v>
      </c>
      <c r="P212" s="120">
        <f t="shared" si="49"/>
        <v>0.441042</v>
      </c>
      <c r="Q212" s="119">
        <v>0.005</v>
      </c>
      <c r="R212" s="120">
        <f t="shared" si="50"/>
        <v>0.441042</v>
      </c>
      <c r="S212" s="119">
        <v>0.005</v>
      </c>
      <c r="T212" s="120">
        <f t="shared" si="51"/>
        <v>0.441042</v>
      </c>
      <c r="AG212" s="121">
        <f t="shared" si="55"/>
        <v>40878</v>
      </c>
      <c r="AH212" s="121">
        <f t="shared" si="56"/>
        <v>40878</v>
      </c>
      <c r="AI212" s="121">
        <f t="shared" si="57"/>
        <v>40878</v>
      </c>
      <c r="AJ212" s="121">
        <f t="shared" si="58"/>
        <v>40878</v>
      </c>
      <c r="AK212" s="121">
        <f t="shared" si="59"/>
        <v>40878</v>
      </c>
    </row>
    <row r="213" spans="1:37" ht="15">
      <c r="A213" s="113">
        <v>40909</v>
      </c>
      <c r="B213" s="113" t="e">
        <f t="shared" si="46"/>
        <v>#N/A</v>
      </c>
      <c r="C213" s="108" t="e">
        <f t="shared" si="48"/>
        <v>#N/A</v>
      </c>
      <c r="D213" s="114">
        <f t="shared" si="52"/>
        <v>0</v>
      </c>
      <c r="E213" s="114" t="e">
        <f t="shared" si="47"/>
        <v>#N/A</v>
      </c>
      <c r="F213" s="108" t="e">
        <f t="shared" si="53"/>
        <v>#N/A</v>
      </c>
      <c r="G213" s="114">
        <f t="shared" si="54"/>
        <v>0</v>
      </c>
      <c r="H213" s="110">
        <v>213</v>
      </c>
      <c r="I213" s="115">
        <v>0.0065</v>
      </c>
      <c r="J213" s="116">
        <v>0.0051</v>
      </c>
      <c r="K213" s="115">
        <v>0.000864</v>
      </c>
      <c r="L213" s="116">
        <v>0.003</v>
      </c>
      <c r="M213" s="117">
        <v>0.0089</v>
      </c>
      <c r="N213" s="118">
        <f>IF(A213&gt;Dados!$C$16,0,IF(A213=Dados!$C$16,1,SUMIF($A$3:$A$500,CONCATENATE("&gt;",TEXT(DATEVALUE(TEXT(A213,"dd/mm/aaaa")),0)),$M$3:$M$500)-SUMIF($A$3:$A$500,CONCATENATE("&gt;",TEXT(Dados!$C$16-1,0)),$M$3:$M$500)+1%))</f>
        <v>0</v>
      </c>
      <c r="O213" s="119">
        <v>0.005</v>
      </c>
      <c r="P213" s="120">
        <f t="shared" si="49"/>
        <v>0.436042</v>
      </c>
      <c r="Q213" s="119">
        <v>0.005</v>
      </c>
      <c r="R213" s="120">
        <f t="shared" si="50"/>
        <v>0.436042</v>
      </c>
      <c r="S213" s="119">
        <v>0.005</v>
      </c>
      <c r="T213" s="120">
        <f t="shared" si="51"/>
        <v>0.436042</v>
      </c>
      <c r="AG213" s="121">
        <f t="shared" si="55"/>
        <v>40909</v>
      </c>
      <c r="AH213" s="121">
        <f t="shared" si="56"/>
        <v>40909</v>
      </c>
      <c r="AI213" s="121">
        <f t="shared" si="57"/>
        <v>40909</v>
      </c>
      <c r="AJ213" s="121">
        <f t="shared" si="58"/>
        <v>40909</v>
      </c>
      <c r="AK213" s="121">
        <f t="shared" si="59"/>
        <v>40909</v>
      </c>
    </row>
    <row r="214" spans="1:37" ht="15">
      <c r="A214" s="113">
        <v>40940</v>
      </c>
      <c r="B214" s="113" t="e">
        <f t="shared" si="46"/>
        <v>#N/A</v>
      </c>
      <c r="C214" s="108" t="e">
        <f t="shared" si="48"/>
        <v>#N/A</v>
      </c>
      <c r="D214" s="114">
        <f t="shared" si="52"/>
        <v>0</v>
      </c>
      <c r="E214" s="114" t="e">
        <f t="shared" si="47"/>
        <v>#N/A</v>
      </c>
      <c r="F214" s="108" t="e">
        <f t="shared" si="53"/>
        <v>#N/A</v>
      </c>
      <c r="G214" s="114">
        <f t="shared" si="54"/>
        <v>0</v>
      </c>
      <c r="H214" s="110">
        <v>214</v>
      </c>
      <c r="I214" s="115">
        <v>0.0053</v>
      </c>
      <c r="J214" s="116">
        <v>0.0039</v>
      </c>
      <c r="K214" s="115">
        <v>0</v>
      </c>
      <c r="L214" s="116">
        <v>0.0007</v>
      </c>
      <c r="M214" s="117">
        <v>0.0075</v>
      </c>
      <c r="N214" s="118">
        <f>IF(A214&gt;Dados!$C$16,0,IF(A214=Dados!$C$16,1,SUMIF($A$3:$A$500,CONCATENATE("&gt;",TEXT(DATEVALUE(TEXT(A214,"dd/mm/aaaa")),0)),$M$3:$M$500)-SUMIF($A$3:$A$500,CONCATENATE("&gt;",TEXT(Dados!$C$16-1,0)),$M$3:$M$500)+1%))</f>
        <v>0</v>
      </c>
      <c r="O214" s="119">
        <v>0.005</v>
      </c>
      <c r="P214" s="120">
        <f t="shared" si="49"/>
        <v>0.431042</v>
      </c>
      <c r="Q214" s="119">
        <v>0.005</v>
      </c>
      <c r="R214" s="120">
        <f t="shared" si="50"/>
        <v>0.431042</v>
      </c>
      <c r="S214" s="119">
        <v>0.005</v>
      </c>
      <c r="T214" s="120">
        <f t="shared" si="51"/>
        <v>0.431042</v>
      </c>
      <c r="AC214" s="104">
        <v>1</v>
      </c>
      <c r="AG214" s="121">
        <f t="shared" si="55"/>
        <v>40940</v>
      </c>
      <c r="AH214" s="121">
        <f t="shared" si="56"/>
        <v>40940</v>
      </c>
      <c r="AI214" s="121">
        <f t="shared" si="57"/>
        <v>40940</v>
      </c>
      <c r="AJ214" s="121">
        <f t="shared" si="58"/>
        <v>40940</v>
      </c>
      <c r="AK214" s="121">
        <f t="shared" si="59"/>
        <v>40940</v>
      </c>
    </row>
    <row r="215" spans="1:37" ht="15">
      <c r="A215" s="113">
        <v>40969</v>
      </c>
      <c r="B215" s="113" t="e">
        <f t="shared" si="46"/>
        <v>#N/A</v>
      </c>
      <c r="C215" s="108" t="e">
        <f t="shared" si="48"/>
        <v>#N/A</v>
      </c>
      <c r="D215" s="114">
        <f t="shared" si="52"/>
        <v>0</v>
      </c>
      <c r="E215" s="114" t="e">
        <f t="shared" si="47"/>
        <v>#N/A</v>
      </c>
      <c r="F215" s="108" t="e">
        <f t="shared" si="53"/>
        <v>#N/A</v>
      </c>
      <c r="G215" s="114">
        <f t="shared" si="54"/>
        <v>0</v>
      </c>
      <c r="H215" s="110">
        <v>215</v>
      </c>
      <c r="I215" s="115">
        <v>0.0025</v>
      </c>
      <c r="J215" s="116">
        <v>0.0018</v>
      </c>
      <c r="K215" s="115">
        <v>0.001068</v>
      </c>
      <c r="L215" s="116">
        <v>0.0056</v>
      </c>
      <c r="M215" s="117">
        <v>0.0082</v>
      </c>
      <c r="N215" s="118">
        <f>IF(A215&gt;Dados!$C$16,0,IF(A215=Dados!$C$16,1,SUMIF($A$3:$A$500,CONCATENATE("&gt;",TEXT(DATEVALUE(TEXT(A215,"dd/mm/aaaa")),0)),$M$3:$M$500)-SUMIF($A$3:$A$500,CONCATENATE("&gt;",TEXT(Dados!$C$16-1,0)),$M$3:$M$500)+1%))</f>
        <v>0</v>
      </c>
      <c r="O215" s="119">
        <v>0.005</v>
      </c>
      <c r="P215" s="120">
        <f t="shared" si="49"/>
        <v>0.426042</v>
      </c>
      <c r="Q215" s="119">
        <v>0.005</v>
      </c>
      <c r="R215" s="120">
        <f t="shared" si="50"/>
        <v>0.426042</v>
      </c>
      <c r="S215" s="119">
        <v>0.005</v>
      </c>
      <c r="T215" s="120">
        <f t="shared" si="51"/>
        <v>0.426042</v>
      </c>
      <c r="AG215" s="121">
        <f t="shared" si="55"/>
        <v>40969</v>
      </c>
      <c r="AH215" s="121">
        <f t="shared" si="56"/>
        <v>40969</v>
      </c>
      <c r="AI215" s="121">
        <f t="shared" si="57"/>
        <v>40969</v>
      </c>
      <c r="AJ215" s="121">
        <f t="shared" si="58"/>
        <v>40969</v>
      </c>
      <c r="AK215" s="121">
        <f t="shared" si="59"/>
        <v>40969</v>
      </c>
    </row>
    <row r="216" spans="1:37" ht="15">
      <c r="A216" s="113">
        <v>41000</v>
      </c>
      <c r="B216" s="113" t="e">
        <f t="shared" si="46"/>
        <v>#N/A</v>
      </c>
      <c r="C216" s="108" t="e">
        <f t="shared" si="48"/>
        <v>#N/A</v>
      </c>
      <c r="D216" s="114">
        <f t="shared" si="52"/>
        <v>0</v>
      </c>
      <c r="E216" s="114" t="e">
        <f t="shared" si="47"/>
        <v>#N/A</v>
      </c>
      <c r="F216" s="108" t="e">
        <f t="shared" si="53"/>
        <v>#N/A</v>
      </c>
      <c r="G216" s="114">
        <f t="shared" si="54"/>
        <v>0</v>
      </c>
      <c r="H216" s="110">
        <v>216</v>
      </c>
      <c r="I216" s="115">
        <v>0.0043</v>
      </c>
      <c r="J216" s="116">
        <v>0.0064</v>
      </c>
      <c r="K216" s="115">
        <v>0.000227</v>
      </c>
      <c r="L216" s="116">
        <v>0.0102</v>
      </c>
      <c r="M216" s="117">
        <v>0.0071</v>
      </c>
      <c r="N216" s="118">
        <f>IF(A216&gt;Dados!$C$16,0,IF(A216=Dados!$C$16,1,SUMIF($A$3:$A$500,CONCATENATE("&gt;",TEXT(DATEVALUE(TEXT(A216,"dd/mm/aaaa")),0)),$M$3:$M$500)-SUMIF($A$3:$A$500,CONCATENATE("&gt;",TEXT(Dados!$C$16-1,0)),$M$3:$M$500)+1%))</f>
        <v>0</v>
      </c>
      <c r="O216" s="119">
        <v>0.005</v>
      </c>
      <c r="P216" s="120">
        <f t="shared" si="49"/>
        <v>0.421042</v>
      </c>
      <c r="Q216" s="119">
        <v>0.005</v>
      </c>
      <c r="R216" s="120">
        <f t="shared" si="50"/>
        <v>0.421042</v>
      </c>
      <c r="S216" s="119">
        <v>0.005</v>
      </c>
      <c r="T216" s="120">
        <f t="shared" si="51"/>
        <v>0.421042</v>
      </c>
      <c r="AG216" s="121">
        <f t="shared" si="55"/>
        <v>41000</v>
      </c>
      <c r="AH216" s="121">
        <f t="shared" si="56"/>
        <v>41000</v>
      </c>
      <c r="AI216" s="121">
        <f t="shared" si="57"/>
        <v>41000</v>
      </c>
      <c r="AJ216" s="121">
        <f t="shared" si="58"/>
        <v>41000</v>
      </c>
      <c r="AK216" s="121">
        <f t="shared" si="59"/>
        <v>41000</v>
      </c>
    </row>
    <row r="217" spans="1:37" ht="15">
      <c r="A217" s="113">
        <v>41030</v>
      </c>
      <c r="B217" s="113" t="e">
        <f t="shared" si="46"/>
        <v>#N/A</v>
      </c>
      <c r="C217" s="108" t="e">
        <f t="shared" si="48"/>
        <v>#N/A</v>
      </c>
      <c r="D217" s="114">
        <f t="shared" si="52"/>
        <v>0</v>
      </c>
      <c r="E217" s="114" t="e">
        <f t="shared" si="47"/>
        <v>#N/A</v>
      </c>
      <c r="F217" s="108" t="e">
        <f t="shared" si="53"/>
        <v>#N/A</v>
      </c>
      <c r="G217" s="114">
        <f t="shared" si="54"/>
        <v>0</v>
      </c>
      <c r="H217" s="110">
        <v>217</v>
      </c>
      <c r="I217" s="115">
        <v>0.0051</v>
      </c>
      <c r="J217" s="116">
        <v>0.0055</v>
      </c>
      <c r="K217" s="115">
        <v>0.000468</v>
      </c>
      <c r="L217" s="116">
        <v>0.0091</v>
      </c>
      <c r="M217" s="117">
        <v>0.0074</v>
      </c>
      <c r="N217" s="118">
        <f>IF(A217&gt;Dados!$C$16,0,IF(A217=Dados!$C$16,1,SUMIF($A$3:$A$500,CONCATENATE("&gt;",TEXT(DATEVALUE(TEXT(A217,"dd/mm/aaaa")),0)),$M$3:$M$500)-SUMIF($A$3:$A$500,CONCATENATE("&gt;",TEXT(Dados!$C$16-1,0)),$M$3:$M$500)+1%))</f>
        <v>0</v>
      </c>
      <c r="O217" s="119">
        <v>0.005</v>
      </c>
      <c r="P217" s="120">
        <f t="shared" si="49"/>
        <v>0.416042</v>
      </c>
      <c r="Q217" s="119">
        <v>0.005</v>
      </c>
      <c r="R217" s="120">
        <f t="shared" si="50"/>
        <v>0.416042</v>
      </c>
      <c r="S217" s="119">
        <v>0.005</v>
      </c>
      <c r="T217" s="120">
        <f t="shared" si="51"/>
        <v>0.416042</v>
      </c>
      <c r="AG217" s="121">
        <f t="shared" si="55"/>
        <v>41030</v>
      </c>
      <c r="AH217" s="121">
        <f t="shared" si="56"/>
        <v>41030</v>
      </c>
      <c r="AI217" s="121">
        <f t="shared" si="57"/>
        <v>41030</v>
      </c>
      <c r="AJ217" s="121">
        <f t="shared" si="58"/>
        <v>41030</v>
      </c>
      <c r="AK217" s="121">
        <f t="shared" si="59"/>
        <v>41030</v>
      </c>
    </row>
    <row r="218" spans="1:37" ht="15">
      <c r="A218" s="113">
        <v>41061</v>
      </c>
      <c r="B218" s="113" t="e">
        <f t="shared" si="46"/>
        <v>#N/A</v>
      </c>
      <c r="C218" s="108" t="e">
        <f t="shared" si="48"/>
        <v>#N/A</v>
      </c>
      <c r="D218" s="114">
        <f t="shared" si="52"/>
        <v>0</v>
      </c>
      <c r="E218" s="114" t="e">
        <f t="shared" si="47"/>
        <v>#N/A</v>
      </c>
      <c r="F218" s="108" t="e">
        <f t="shared" si="53"/>
        <v>#N/A</v>
      </c>
      <c r="G218" s="114">
        <f t="shared" si="54"/>
        <v>0</v>
      </c>
      <c r="H218" s="110">
        <v>218</v>
      </c>
      <c r="I218" s="115">
        <v>0.0018</v>
      </c>
      <c r="J218" s="116">
        <v>0.0026</v>
      </c>
      <c r="K218" s="115">
        <v>0</v>
      </c>
      <c r="L218" s="116">
        <v>0.0069</v>
      </c>
      <c r="M218" s="117">
        <v>0.0064</v>
      </c>
      <c r="N218" s="118">
        <f>IF(A218&gt;Dados!$C$16,0,IF(A218=Dados!$C$16,1,SUMIF($A$3:$A$500,CONCATENATE("&gt;",TEXT(DATEVALUE(TEXT(A218,"dd/mm/aaaa")),0)),$M$3:$M$500)-SUMIF($A$3:$A$500,CONCATENATE("&gt;",TEXT(Dados!$C$16-1,0)),$M$3:$M$500)+1%))</f>
        <v>0</v>
      </c>
      <c r="O218" s="119">
        <v>0.005</v>
      </c>
      <c r="P218" s="120">
        <f t="shared" si="49"/>
        <v>0.411042</v>
      </c>
      <c r="Q218" s="119">
        <v>0.005</v>
      </c>
      <c r="R218" s="120">
        <f t="shared" si="50"/>
        <v>0.411042</v>
      </c>
      <c r="S218" s="119">
        <v>0.005</v>
      </c>
      <c r="T218" s="120">
        <f t="shared" si="51"/>
        <v>0.411042</v>
      </c>
      <c r="AC218" s="104">
        <v>1</v>
      </c>
      <c r="AG218" s="121">
        <f t="shared" si="55"/>
        <v>41061</v>
      </c>
      <c r="AH218" s="121">
        <f t="shared" si="56"/>
        <v>41061</v>
      </c>
      <c r="AI218" s="121">
        <f t="shared" si="57"/>
        <v>41061</v>
      </c>
      <c r="AJ218" s="121">
        <f t="shared" si="58"/>
        <v>41061</v>
      </c>
      <c r="AK218" s="121">
        <f t="shared" si="59"/>
        <v>41061</v>
      </c>
    </row>
    <row r="219" spans="1:37" ht="15">
      <c r="A219" s="122">
        <v>41091</v>
      </c>
      <c r="B219" s="113" t="e">
        <f t="shared" si="46"/>
        <v>#N/A</v>
      </c>
      <c r="C219" s="108" t="e">
        <f t="shared" si="48"/>
        <v>#N/A</v>
      </c>
      <c r="D219" s="114">
        <f t="shared" si="52"/>
        <v>0</v>
      </c>
      <c r="E219" s="114" t="e">
        <f t="shared" si="47"/>
        <v>#N/A</v>
      </c>
      <c r="F219" s="108" t="e">
        <f t="shared" si="53"/>
        <v>#N/A</v>
      </c>
      <c r="G219" s="114">
        <f t="shared" si="54"/>
        <v>0</v>
      </c>
      <c r="H219" s="110">
        <v>219</v>
      </c>
      <c r="I219" s="115">
        <v>0.0033</v>
      </c>
      <c r="J219" s="116">
        <v>0.0043</v>
      </c>
      <c r="K219" s="115">
        <v>0.000144</v>
      </c>
      <c r="L219" s="116">
        <v>0.0152</v>
      </c>
      <c r="M219" s="117">
        <v>0.0068</v>
      </c>
      <c r="N219" s="118">
        <f>IF(A219&gt;Dados!$C$16,0,IF(A219=Dados!$C$16,1,SUMIF($A$3:$A$500,CONCATENATE("&gt;",TEXT(DATEVALUE(TEXT(A219,"dd/mm/aaaa")),0)),$M$3:$M$500)-SUMIF($A$3:$A$500,CONCATENATE("&gt;",TEXT(Dados!$C$16-1,0)),$M$3:$M$500)+1%))</f>
        <v>0</v>
      </c>
      <c r="O219" s="138">
        <v>0.004828</v>
      </c>
      <c r="P219" s="120">
        <f t="shared" si="49"/>
        <v>0.406214</v>
      </c>
      <c r="Q219" s="138">
        <v>0.004828</v>
      </c>
      <c r="R219" s="120">
        <f t="shared" si="50"/>
        <v>0.406214</v>
      </c>
      <c r="S219" s="138">
        <v>0.004828</v>
      </c>
      <c r="T219" s="120">
        <f t="shared" si="51"/>
        <v>0.406214</v>
      </c>
      <c r="AG219" s="121">
        <f t="shared" si="55"/>
        <v>41091</v>
      </c>
      <c r="AH219" s="121">
        <f t="shared" si="56"/>
        <v>41091</v>
      </c>
      <c r="AI219" s="121">
        <f t="shared" si="57"/>
        <v>41091</v>
      </c>
      <c r="AJ219" s="121">
        <f t="shared" si="58"/>
        <v>41091</v>
      </c>
      <c r="AK219" s="121">
        <f t="shared" si="59"/>
        <v>41091</v>
      </c>
    </row>
    <row r="220" spans="1:37" ht="15">
      <c r="A220" s="113">
        <v>41122</v>
      </c>
      <c r="B220" s="113" t="e">
        <f t="shared" si="46"/>
        <v>#N/A</v>
      </c>
      <c r="C220" s="108" t="e">
        <f t="shared" si="48"/>
        <v>#N/A</v>
      </c>
      <c r="D220" s="114">
        <f t="shared" si="52"/>
        <v>0</v>
      </c>
      <c r="E220" s="114" t="e">
        <f t="shared" si="47"/>
        <v>#N/A</v>
      </c>
      <c r="F220" s="108" t="e">
        <f t="shared" si="53"/>
        <v>#N/A</v>
      </c>
      <c r="G220" s="114">
        <f t="shared" si="54"/>
        <v>0</v>
      </c>
      <c r="H220" s="110">
        <v>220</v>
      </c>
      <c r="I220" s="115">
        <v>0.0039</v>
      </c>
      <c r="J220" s="116">
        <v>0.0045</v>
      </c>
      <c r="K220" s="115">
        <v>0.000123</v>
      </c>
      <c r="L220" s="116">
        <v>0.0129</v>
      </c>
      <c r="M220" s="117">
        <v>0.0069</v>
      </c>
      <c r="N220" s="118">
        <f>IF(A220&gt;Dados!$C$16,0,IF(A220=Dados!$C$16,1,SUMIF($A$3:$A$500,CONCATENATE("&gt;",TEXT(DATEVALUE(TEXT(A220,"dd/mm/aaaa")),0)),$M$3:$M$500)-SUMIF($A$3:$A$500,CONCATENATE("&gt;",TEXT(Dados!$C$16-1,0)),$M$3:$M$500)+1%))</f>
        <v>0</v>
      </c>
      <c r="O220" s="138">
        <v>0.004828</v>
      </c>
      <c r="P220" s="120">
        <f t="shared" si="49"/>
        <v>0.401386</v>
      </c>
      <c r="Q220" s="138">
        <v>0.004828</v>
      </c>
      <c r="R220" s="120">
        <f t="shared" si="50"/>
        <v>0.401386</v>
      </c>
      <c r="S220" s="138">
        <v>0.004828</v>
      </c>
      <c r="T220" s="120">
        <f t="shared" si="51"/>
        <v>0.401386</v>
      </c>
      <c r="AG220" s="121">
        <f t="shared" si="55"/>
        <v>41122</v>
      </c>
      <c r="AH220" s="121">
        <f t="shared" si="56"/>
        <v>41122</v>
      </c>
      <c r="AI220" s="121">
        <f t="shared" si="57"/>
        <v>41122</v>
      </c>
      <c r="AJ220" s="121">
        <f t="shared" si="58"/>
        <v>41122</v>
      </c>
      <c r="AK220" s="121">
        <f t="shared" si="59"/>
        <v>41122</v>
      </c>
    </row>
    <row r="221" spans="1:37" ht="15">
      <c r="A221" s="113">
        <v>41153</v>
      </c>
      <c r="B221" s="113" t="e">
        <f t="shared" si="46"/>
        <v>#N/A</v>
      </c>
      <c r="C221" s="108" t="e">
        <f t="shared" si="48"/>
        <v>#N/A</v>
      </c>
      <c r="D221" s="114">
        <f t="shared" si="52"/>
        <v>0</v>
      </c>
      <c r="E221" s="114" t="e">
        <f t="shared" si="47"/>
        <v>#N/A</v>
      </c>
      <c r="F221" s="108" t="e">
        <f t="shared" si="53"/>
        <v>#N/A</v>
      </c>
      <c r="G221" s="114">
        <f t="shared" si="54"/>
        <v>0</v>
      </c>
      <c r="H221" s="110">
        <v>221</v>
      </c>
      <c r="I221" s="115">
        <v>0.0048</v>
      </c>
      <c r="J221" s="116">
        <v>0.0063</v>
      </c>
      <c r="K221" s="115">
        <v>0</v>
      </c>
      <c r="L221" s="116">
        <v>0.0088</v>
      </c>
      <c r="M221" s="117">
        <v>0.0054</v>
      </c>
      <c r="N221" s="118">
        <f>IF(A221&gt;Dados!$C$16,0,IF(A221=Dados!$C$16,1,SUMIF($A$3:$A$500,CONCATENATE("&gt;",TEXT(DATEVALUE(TEXT(A221,"dd/mm/aaaa")),0)),$M$3:$M$500)-SUMIF($A$3:$A$500,CONCATENATE("&gt;",TEXT(Dados!$C$16-1,0)),$M$3:$M$500)+1%))</f>
        <v>0</v>
      </c>
      <c r="O221" s="138">
        <v>0.004551</v>
      </c>
      <c r="P221" s="120">
        <f t="shared" si="49"/>
        <v>0.396835</v>
      </c>
      <c r="Q221" s="138">
        <v>0.004551</v>
      </c>
      <c r="R221" s="120">
        <f t="shared" si="50"/>
        <v>0.396835</v>
      </c>
      <c r="S221" s="138">
        <v>0.004551</v>
      </c>
      <c r="T221" s="120">
        <f t="shared" si="51"/>
        <v>0.396835</v>
      </c>
      <c r="AC221" s="104">
        <v>1</v>
      </c>
      <c r="AG221" s="121">
        <f t="shared" si="55"/>
        <v>41153</v>
      </c>
      <c r="AH221" s="121">
        <f t="shared" si="56"/>
        <v>41153</v>
      </c>
      <c r="AI221" s="121">
        <f t="shared" si="57"/>
        <v>41153</v>
      </c>
      <c r="AJ221" s="121">
        <f t="shared" si="58"/>
        <v>41153</v>
      </c>
      <c r="AK221" s="121">
        <f t="shared" si="59"/>
        <v>41153</v>
      </c>
    </row>
    <row r="222" spans="1:37" ht="15">
      <c r="A222" s="113">
        <v>41183</v>
      </c>
      <c r="B222" s="113" t="e">
        <f t="shared" si="46"/>
        <v>#N/A</v>
      </c>
      <c r="C222" s="108" t="e">
        <f t="shared" si="48"/>
        <v>#N/A</v>
      </c>
      <c r="D222" s="114">
        <f t="shared" si="52"/>
        <v>0</v>
      </c>
      <c r="E222" s="114" t="e">
        <f t="shared" si="47"/>
        <v>#N/A</v>
      </c>
      <c r="F222" s="108" t="e">
        <f t="shared" si="53"/>
        <v>#N/A</v>
      </c>
      <c r="G222" s="114">
        <f t="shared" si="54"/>
        <v>0</v>
      </c>
      <c r="H222" s="110">
        <v>222</v>
      </c>
      <c r="I222" s="115">
        <v>0.0065</v>
      </c>
      <c r="J222" s="116">
        <v>0.0071</v>
      </c>
      <c r="K222" s="115">
        <v>0</v>
      </c>
      <c r="L222" s="116">
        <v>-0.0031</v>
      </c>
      <c r="M222" s="117">
        <v>0.0061</v>
      </c>
      <c r="N222" s="118">
        <f>IF(A222&gt;Dados!$C$16,0,IF(A222=Dados!$C$16,1,SUMIF($A$3:$A$500,CONCATENATE("&gt;",TEXT(DATEVALUE(TEXT(A222,"dd/mm/aaaa")),0)),$M$3:$M$500)-SUMIF($A$3:$A$500,CONCATENATE("&gt;",TEXT(Dados!$C$16-1,0)),$M$3:$M$500)+1%))</f>
        <v>0</v>
      </c>
      <c r="O222" s="138">
        <v>0.004273</v>
      </c>
      <c r="P222" s="120">
        <f t="shared" si="49"/>
        <v>0.392562</v>
      </c>
      <c r="Q222" s="138">
        <v>0.004273</v>
      </c>
      <c r="R222" s="120">
        <f t="shared" si="50"/>
        <v>0.392562</v>
      </c>
      <c r="S222" s="138">
        <v>0.004273</v>
      </c>
      <c r="T222" s="120">
        <f t="shared" si="51"/>
        <v>0.392562</v>
      </c>
      <c r="AC222" s="104">
        <v>1</v>
      </c>
      <c r="AG222" s="121">
        <f t="shared" si="55"/>
        <v>41183</v>
      </c>
      <c r="AH222" s="121">
        <f t="shared" si="56"/>
        <v>41183</v>
      </c>
      <c r="AI222" s="121">
        <f t="shared" si="57"/>
        <v>41183</v>
      </c>
      <c r="AJ222" s="121">
        <f t="shared" si="58"/>
        <v>41183</v>
      </c>
      <c r="AK222" s="121">
        <f t="shared" si="59"/>
        <v>41183</v>
      </c>
    </row>
    <row r="223" spans="1:37" ht="15">
      <c r="A223" s="113">
        <v>41214</v>
      </c>
      <c r="B223" s="113" t="e">
        <f t="shared" si="46"/>
        <v>#N/A</v>
      </c>
      <c r="C223" s="108" t="e">
        <f t="shared" si="48"/>
        <v>#N/A</v>
      </c>
      <c r="D223" s="114">
        <f t="shared" si="52"/>
        <v>0</v>
      </c>
      <c r="E223" s="114" t="e">
        <f t="shared" si="47"/>
        <v>#N/A</v>
      </c>
      <c r="F223" s="108" t="e">
        <f t="shared" si="53"/>
        <v>#N/A</v>
      </c>
      <c r="G223" s="114">
        <f t="shared" si="54"/>
        <v>0</v>
      </c>
      <c r="H223" s="110">
        <v>223</v>
      </c>
      <c r="I223" s="115">
        <v>0.0054</v>
      </c>
      <c r="J223" s="116">
        <v>0.0054</v>
      </c>
      <c r="K223" s="115">
        <v>0</v>
      </c>
      <c r="L223" s="116">
        <v>0.0025</v>
      </c>
      <c r="M223" s="117">
        <v>0.0055</v>
      </c>
      <c r="N223" s="118">
        <f>IF(A223&gt;Dados!$C$16,0,IF(A223=Dados!$C$16,1,SUMIF($A$3:$A$500,CONCATENATE("&gt;",TEXT(DATEVALUE(TEXT(A223,"dd/mm/aaaa")),0)),$M$3:$M$500)-SUMIF($A$3:$A$500,CONCATENATE("&gt;",TEXT(Dados!$C$16-1,0)),$M$3:$M$500)+1%))</f>
        <v>0</v>
      </c>
      <c r="O223" s="138">
        <v>0.004273</v>
      </c>
      <c r="P223" s="120">
        <f t="shared" si="49"/>
        <v>0.388289</v>
      </c>
      <c r="Q223" s="138">
        <v>0.004273</v>
      </c>
      <c r="R223" s="120">
        <f t="shared" si="50"/>
        <v>0.388289</v>
      </c>
      <c r="S223" s="138">
        <v>0.004273</v>
      </c>
      <c r="T223" s="120">
        <f t="shared" si="51"/>
        <v>0.388289</v>
      </c>
      <c r="AC223" s="104">
        <v>1</v>
      </c>
      <c r="AG223" s="121">
        <f t="shared" si="55"/>
        <v>41214</v>
      </c>
      <c r="AH223" s="121">
        <f t="shared" si="56"/>
        <v>41214</v>
      </c>
      <c r="AI223" s="121">
        <f t="shared" si="57"/>
        <v>41214</v>
      </c>
      <c r="AJ223" s="121">
        <f t="shared" si="58"/>
        <v>41214</v>
      </c>
      <c r="AK223" s="121">
        <f t="shared" si="59"/>
        <v>41214</v>
      </c>
    </row>
    <row r="224" spans="1:37" ht="15">
      <c r="A224" s="113">
        <v>41244</v>
      </c>
      <c r="B224" s="113" t="e">
        <f t="shared" si="46"/>
        <v>#N/A</v>
      </c>
      <c r="C224" s="108" t="e">
        <f t="shared" si="48"/>
        <v>#N/A</v>
      </c>
      <c r="D224" s="114">
        <f t="shared" si="52"/>
        <v>0</v>
      </c>
      <c r="E224" s="114" t="e">
        <f t="shared" si="47"/>
        <v>#N/A</v>
      </c>
      <c r="F224" s="108" t="e">
        <f t="shared" si="53"/>
        <v>#N/A</v>
      </c>
      <c r="G224" s="114">
        <f t="shared" si="54"/>
        <v>0</v>
      </c>
      <c r="H224" s="110">
        <v>224</v>
      </c>
      <c r="I224" s="115">
        <v>0.0069</v>
      </c>
      <c r="J224" s="116">
        <v>0.0074</v>
      </c>
      <c r="K224" s="115">
        <v>0</v>
      </c>
      <c r="L224" s="116">
        <v>0.0066</v>
      </c>
      <c r="M224" s="117">
        <v>0.0055</v>
      </c>
      <c r="N224" s="118">
        <f>IF(A224&gt;Dados!$C$16,0,IF(A224=Dados!$C$16,1,SUMIF($A$3:$A$500,CONCATENATE("&gt;",TEXT(DATEVALUE(TEXT(A224,"dd/mm/aaaa")),0)),$M$3:$M$500)-SUMIF($A$3:$A$500,CONCATENATE("&gt;",TEXT(Dados!$C$16-1,0)),$M$3:$M$500)+1%))</f>
        <v>0</v>
      </c>
      <c r="O224" s="138">
        <v>0.004134</v>
      </c>
      <c r="P224" s="120">
        <f t="shared" si="49"/>
        <v>0.384155</v>
      </c>
      <c r="Q224" s="138">
        <v>0.004134</v>
      </c>
      <c r="R224" s="120">
        <f t="shared" si="50"/>
        <v>0.384155</v>
      </c>
      <c r="S224" s="138">
        <v>0.004134</v>
      </c>
      <c r="T224" s="120">
        <f t="shared" si="51"/>
        <v>0.384155</v>
      </c>
      <c r="AC224" s="104">
        <v>1</v>
      </c>
      <c r="AG224" s="121">
        <f t="shared" si="55"/>
        <v>41244</v>
      </c>
      <c r="AH224" s="121">
        <f t="shared" si="56"/>
        <v>41244</v>
      </c>
      <c r="AI224" s="121">
        <f t="shared" si="57"/>
        <v>41244</v>
      </c>
      <c r="AJ224" s="121">
        <f t="shared" si="58"/>
        <v>41244</v>
      </c>
      <c r="AK224" s="121">
        <f t="shared" si="59"/>
        <v>41244</v>
      </c>
    </row>
    <row r="225" spans="1:37" ht="15">
      <c r="A225" s="113">
        <v>41275</v>
      </c>
      <c r="B225" s="113" t="e">
        <f t="shared" si="46"/>
        <v>#N/A</v>
      </c>
      <c r="C225" s="108" t="e">
        <f t="shared" si="48"/>
        <v>#N/A</v>
      </c>
      <c r="D225" s="114">
        <f t="shared" si="52"/>
        <v>0</v>
      </c>
      <c r="E225" s="114" t="e">
        <f t="shared" si="47"/>
        <v>#N/A</v>
      </c>
      <c r="F225" s="108" t="e">
        <f t="shared" si="53"/>
        <v>#N/A</v>
      </c>
      <c r="G225" s="114">
        <f t="shared" si="54"/>
        <v>0</v>
      </c>
      <c r="H225" s="110">
        <v>225</v>
      </c>
      <c r="I225" s="115">
        <v>0.0088</v>
      </c>
      <c r="J225" s="116">
        <v>0.0092</v>
      </c>
      <c r="K225" s="115">
        <v>0</v>
      </c>
      <c r="L225" s="116">
        <v>0.0031</v>
      </c>
      <c r="M225" s="117">
        <v>0.006</v>
      </c>
      <c r="N225" s="118">
        <f>IF(A225&gt;Dados!$C$16,0,IF(A225=Dados!$C$16,1,SUMIF($A$3:$A$500,CONCATENATE("&gt;",TEXT(DATEVALUE(TEXT(A225,"dd/mm/aaaa")),0)),$M$3:$M$500)-SUMIF($A$3:$A$500,CONCATENATE("&gt;",TEXT(Dados!$C$16-1,0)),$M$3:$M$500)+1%))</f>
        <v>0</v>
      </c>
      <c r="O225" s="138">
        <v>0.004134</v>
      </c>
      <c r="P225" s="120">
        <f t="shared" si="49"/>
        <v>0.380021</v>
      </c>
      <c r="Q225" s="138">
        <v>0.004134</v>
      </c>
      <c r="R225" s="120">
        <f t="shared" si="50"/>
        <v>0.380021</v>
      </c>
      <c r="S225" s="138">
        <v>0.004134</v>
      </c>
      <c r="T225" s="120">
        <f t="shared" si="51"/>
        <v>0.380021</v>
      </c>
      <c r="AC225" s="104">
        <v>1</v>
      </c>
      <c r="AG225" s="121">
        <f t="shared" si="55"/>
        <v>41275</v>
      </c>
      <c r="AH225" s="121">
        <f t="shared" si="56"/>
        <v>41275</v>
      </c>
      <c r="AI225" s="121">
        <f t="shared" si="57"/>
        <v>41275</v>
      </c>
      <c r="AJ225" s="121">
        <f t="shared" si="58"/>
        <v>41275</v>
      </c>
      <c r="AK225" s="121">
        <f t="shared" si="59"/>
        <v>41275</v>
      </c>
    </row>
    <row r="226" spans="1:37" ht="15">
      <c r="A226" s="113">
        <v>41306</v>
      </c>
      <c r="B226" s="113" t="e">
        <f t="shared" si="46"/>
        <v>#N/A</v>
      </c>
      <c r="C226" s="108" t="e">
        <f t="shared" si="48"/>
        <v>#N/A</v>
      </c>
      <c r="D226" s="114">
        <f t="shared" si="52"/>
        <v>0</v>
      </c>
      <c r="E226" s="114" t="e">
        <f t="shared" si="47"/>
        <v>#N/A</v>
      </c>
      <c r="F226" s="108" t="e">
        <f t="shared" si="53"/>
        <v>#N/A</v>
      </c>
      <c r="G226" s="114">
        <f t="shared" si="54"/>
        <v>0</v>
      </c>
      <c r="H226" s="110">
        <v>226</v>
      </c>
      <c r="I226" s="115">
        <v>0.0068</v>
      </c>
      <c r="J226" s="116">
        <v>0.0052</v>
      </c>
      <c r="K226" s="115">
        <v>0</v>
      </c>
      <c r="L226" s="116">
        <v>0.002</v>
      </c>
      <c r="M226" s="117">
        <v>0.0049</v>
      </c>
      <c r="N226" s="118">
        <f>IF(A226&gt;Dados!$C$16,0,IF(A226=Dados!$C$16,1,SUMIF($A$3:$A$500,CONCATENATE("&gt;",TEXT(DATEVALUE(TEXT(A226,"dd/mm/aaaa")),0)),$M$3:$M$500)-SUMIF($A$3:$A$500,CONCATENATE("&gt;",TEXT(Dados!$C$16-1,0)),$M$3:$M$500)+1%))</f>
        <v>0</v>
      </c>
      <c r="O226" s="138">
        <v>0.004134</v>
      </c>
      <c r="P226" s="120">
        <f t="shared" si="49"/>
        <v>0.375887</v>
      </c>
      <c r="Q226" s="138">
        <v>0.004134</v>
      </c>
      <c r="R226" s="120">
        <f t="shared" si="50"/>
        <v>0.375887</v>
      </c>
      <c r="S226" s="138">
        <v>0.004134</v>
      </c>
      <c r="T226" s="120">
        <f t="shared" si="51"/>
        <v>0.375887</v>
      </c>
      <c r="AC226" s="104">
        <v>1</v>
      </c>
      <c r="AG226" s="121">
        <f t="shared" si="55"/>
        <v>41306</v>
      </c>
      <c r="AH226" s="121">
        <f t="shared" si="56"/>
        <v>41306</v>
      </c>
      <c r="AI226" s="121">
        <f t="shared" si="57"/>
        <v>41306</v>
      </c>
      <c r="AJ226" s="121">
        <f t="shared" si="58"/>
        <v>41306</v>
      </c>
      <c r="AK226" s="121">
        <f t="shared" si="59"/>
        <v>41306</v>
      </c>
    </row>
    <row r="227" spans="1:37" ht="15">
      <c r="A227" s="113">
        <v>41334</v>
      </c>
      <c r="B227" s="113" t="e">
        <f t="shared" si="46"/>
        <v>#N/A</v>
      </c>
      <c r="C227" s="108" t="e">
        <f t="shared" si="48"/>
        <v>#N/A</v>
      </c>
      <c r="D227" s="114">
        <f t="shared" si="52"/>
        <v>0</v>
      </c>
      <c r="E227" s="114" t="e">
        <f t="shared" si="47"/>
        <v>#N/A</v>
      </c>
      <c r="F227" s="108" t="e">
        <f t="shared" si="53"/>
        <v>#N/A</v>
      </c>
      <c r="G227" s="114">
        <f t="shared" si="54"/>
        <v>0</v>
      </c>
      <c r="H227" s="110">
        <v>227</v>
      </c>
      <c r="I227" s="115">
        <v>0.0049</v>
      </c>
      <c r="J227" s="116">
        <v>0.006</v>
      </c>
      <c r="K227" s="115">
        <v>0</v>
      </c>
      <c r="L227" s="116">
        <v>0.0031</v>
      </c>
      <c r="M227" s="117">
        <v>0.0055</v>
      </c>
      <c r="N227" s="118">
        <f>IF(A227&gt;Dados!$C$16,0,IF(A227=Dados!$C$16,1,SUMIF($A$3:$A$500,CONCATENATE("&gt;",TEXT(DATEVALUE(TEXT(A227,"dd/mm/aaaa")),0)),$M$3:$M$500)-SUMIF($A$3:$A$500,CONCATENATE("&gt;",TEXT(Dados!$C$16-1,0)),$M$3:$M$500)+1%))</f>
        <v>0</v>
      </c>
      <c r="O227" s="138">
        <v>0.004134</v>
      </c>
      <c r="P227" s="120">
        <f t="shared" si="49"/>
        <v>0.371753</v>
      </c>
      <c r="Q227" s="138">
        <v>0.004134</v>
      </c>
      <c r="R227" s="120">
        <f t="shared" si="50"/>
        <v>0.371753</v>
      </c>
      <c r="S227" s="138">
        <v>0.004134</v>
      </c>
      <c r="T227" s="120">
        <f t="shared" si="51"/>
        <v>0.371753</v>
      </c>
      <c r="AC227" s="104">
        <v>1</v>
      </c>
      <c r="AG227" s="121">
        <f t="shared" si="55"/>
        <v>41334</v>
      </c>
      <c r="AH227" s="121">
        <f t="shared" si="56"/>
        <v>41334</v>
      </c>
      <c r="AI227" s="121">
        <f t="shared" si="57"/>
        <v>41334</v>
      </c>
      <c r="AJ227" s="121">
        <f t="shared" si="58"/>
        <v>41334</v>
      </c>
      <c r="AK227" s="121">
        <f t="shared" si="59"/>
        <v>41334</v>
      </c>
    </row>
    <row r="228" spans="1:37" ht="15">
      <c r="A228" s="113">
        <v>41365</v>
      </c>
      <c r="B228" s="113" t="e">
        <f t="shared" si="46"/>
        <v>#N/A</v>
      </c>
      <c r="C228" s="108" t="e">
        <f t="shared" si="48"/>
        <v>#N/A</v>
      </c>
      <c r="D228" s="114">
        <f t="shared" si="52"/>
        <v>0</v>
      </c>
      <c r="E228" s="114" t="e">
        <f t="shared" si="47"/>
        <v>#N/A</v>
      </c>
      <c r="F228" s="108" t="e">
        <f t="shared" si="53"/>
        <v>#N/A</v>
      </c>
      <c r="G228" s="114">
        <f t="shared" si="54"/>
        <v>0</v>
      </c>
      <c r="H228" s="110">
        <v>228</v>
      </c>
      <c r="I228" s="115">
        <v>0.0051</v>
      </c>
      <c r="J228" s="116">
        <v>0.0059</v>
      </c>
      <c r="K228" s="115">
        <v>0</v>
      </c>
      <c r="L228" s="116">
        <v>-0.0006</v>
      </c>
      <c r="M228" s="117">
        <v>0.0061</v>
      </c>
      <c r="N228" s="118">
        <f>IF(A228&gt;Dados!$C$16,0,IF(A228=Dados!$C$16,1,SUMIF($A$3:$A$500,CONCATENATE("&gt;",TEXT(DATEVALUE(TEXT(A228,"dd/mm/aaaa")),0)),$M$3:$M$500)-SUMIF($A$3:$A$500,CONCATENATE("&gt;",TEXT(Dados!$C$16-1,0)),$M$3:$M$500)+1%))</f>
        <v>0</v>
      </c>
      <c r="O228" s="138">
        <v>0.004134</v>
      </c>
      <c r="P228" s="120">
        <f t="shared" si="49"/>
        <v>0.367619</v>
      </c>
      <c r="Q228" s="138">
        <v>0.004134</v>
      </c>
      <c r="R228" s="120">
        <f t="shared" si="50"/>
        <v>0.367619</v>
      </c>
      <c r="S228" s="138">
        <v>0.004134</v>
      </c>
      <c r="T228" s="120">
        <f t="shared" si="51"/>
        <v>0.367619</v>
      </c>
      <c r="AC228" s="104">
        <v>1</v>
      </c>
      <c r="AG228" s="121">
        <f t="shared" si="55"/>
        <v>41365</v>
      </c>
      <c r="AH228" s="121">
        <f t="shared" si="56"/>
        <v>41365</v>
      </c>
      <c r="AI228" s="121">
        <f t="shared" si="57"/>
        <v>41365</v>
      </c>
      <c r="AJ228" s="121">
        <f t="shared" si="58"/>
        <v>41365</v>
      </c>
      <c r="AK228" s="121">
        <f t="shared" si="59"/>
        <v>41365</v>
      </c>
    </row>
    <row r="229" spans="1:37" ht="15">
      <c r="A229" s="113">
        <v>41395</v>
      </c>
      <c r="B229" s="113" t="e">
        <f t="shared" si="46"/>
        <v>#N/A</v>
      </c>
      <c r="C229" s="108" t="e">
        <f t="shared" si="48"/>
        <v>#N/A</v>
      </c>
      <c r="D229" s="114">
        <f t="shared" si="52"/>
        <v>0</v>
      </c>
      <c r="E229" s="114" t="e">
        <f t="shared" si="47"/>
        <v>#N/A</v>
      </c>
      <c r="F229" s="108" t="e">
        <f t="shared" si="53"/>
        <v>#N/A</v>
      </c>
      <c r="G229" s="114">
        <f t="shared" si="54"/>
        <v>0</v>
      </c>
      <c r="H229" s="110">
        <v>229</v>
      </c>
      <c r="I229" s="115">
        <v>0.0046</v>
      </c>
      <c r="J229" s="116">
        <v>0.0035</v>
      </c>
      <c r="K229" s="115">
        <v>0</v>
      </c>
      <c r="L229" s="116">
        <v>0.0032</v>
      </c>
      <c r="M229" s="117">
        <v>0.006</v>
      </c>
      <c r="N229" s="118">
        <f>IF(A229&gt;Dados!$C$16,0,IF(A229=Dados!$C$16,1,SUMIF($A$3:$A$500,CONCATENATE("&gt;",TEXT(DATEVALUE(TEXT(A229,"dd/mm/aaaa")),0)),$M$3:$M$500)-SUMIF($A$3:$A$500,CONCATENATE("&gt;",TEXT(Dados!$C$16-1,0)),$M$3:$M$500)+1%))</f>
        <v>0</v>
      </c>
      <c r="O229" s="138">
        <v>0.004134</v>
      </c>
      <c r="P229" s="120">
        <f t="shared" si="49"/>
        <v>0.363485</v>
      </c>
      <c r="Q229" s="138">
        <v>0.004134</v>
      </c>
      <c r="R229" s="120">
        <f t="shared" si="50"/>
        <v>0.363485</v>
      </c>
      <c r="S229" s="138">
        <v>0.004134</v>
      </c>
      <c r="T229" s="120">
        <f t="shared" si="51"/>
        <v>0.363485</v>
      </c>
      <c r="AC229" s="104">
        <v>1</v>
      </c>
      <c r="AG229" s="121">
        <f t="shared" si="55"/>
        <v>41395</v>
      </c>
      <c r="AH229" s="121">
        <f t="shared" si="56"/>
        <v>41395</v>
      </c>
      <c r="AI229" s="121">
        <f t="shared" si="57"/>
        <v>41395</v>
      </c>
      <c r="AJ229" s="121">
        <f t="shared" si="58"/>
        <v>41395</v>
      </c>
      <c r="AK229" s="121">
        <f t="shared" si="59"/>
        <v>41395</v>
      </c>
    </row>
    <row r="230" spans="1:37" ht="15">
      <c r="A230" s="113">
        <v>41426</v>
      </c>
      <c r="B230" s="113" t="e">
        <f t="shared" si="46"/>
        <v>#N/A</v>
      </c>
      <c r="C230" s="108" t="e">
        <f t="shared" si="48"/>
        <v>#N/A</v>
      </c>
      <c r="D230" s="114">
        <f t="shared" si="52"/>
        <v>0</v>
      </c>
      <c r="E230" s="114" t="e">
        <f t="shared" si="47"/>
        <v>#N/A</v>
      </c>
      <c r="F230" s="108" t="e">
        <f t="shared" si="53"/>
        <v>#N/A</v>
      </c>
      <c r="G230" s="114">
        <f t="shared" si="54"/>
        <v>0</v>
      </c>
      <c r="H230" s="110">
        <v>230</v>
      </c>
      <c r="I230" s="115">
        <v>0.0038</v>
      </c>
      <c r="J230" s="116">
        <v>0.0028</v>
      </c>
      <c r="K230" s="115">
        <v>0</v>
      </c>
      <c r="L230" s="116">
        <v>0.0076</v>
      </c>
      <c r="M230" s="117">
        <v>0.0061</v>
      </c>
      <c r="N230" s="118">
        <f>IF(A230&gt;Dados!$C$16,0,IF(A230=Dados!$C$16,1,SUMIF($A$3:$A$500,CONCATENATE("&gt;",TEXT(DATEVALUE(TEXT(A230,"dd/mm/aaaa")),0)),$M$3:$M$500)-SUMIF($A$3:$A$500,CONCATENATE("&gt;",TEXT(Dados!$C$16-1,0)),$M$3:$M$500)+1%))</f>
        <v>0</v>
      </c>
      <c r="O230" s="138">
        <v>0.004273</v>
      </c>
      <c r="P230" s="120">
        <f t="shared" si="49"/>
        <v>0.359212</v>
      </c>
      <c r="Q230" s="138">
        <v>0.004273</v>
      </c>
      <c r="R230" s="120">
        <f t="shared" si="50"/>
        <v>0.359212</v>
      </c>
      <c r="S230" s="138">
        <v>0.004273</v>
      </c>
      <c r="T230" s="120">
        <f t="shared" si="51"/>
        <v>0.359212</v>
      </c>
      <c r="AC230" s="104">
        <v>1</v>
      </c>
      <c r="AG230" s="121">
        <f t="shared" si="55"/>
        <v>41426</v>
      </c>
      <c r="AH230" s="121">
        <f t="shared" si="56"/>
        <v>41426</v>
      </c>
      <c r="AI230" s="121">
        <f t="shared" si="57"/>
        <v>41426</v>
      </c>
      <c r="AJ230" s="121">
        <f t="shared" si="58"/>
        <v>41426</v>
      </c>
      <c r="AK230" s="121">
        <f t="shared" si="59"/>
        <v>41426</v>
      </c>
    </row>
    <row r="231" spans="1:37" ht="15">
      <c r="A231" s="113">
        <v>41456</v>
      </c>
      <c r="B231" s="113" t="e">
        <f t="shared" si="46"/>
        <v>#N/A</v>
      </c>
      <c r="C231" s="108" t="e">
        <f t="shared" si="48"/>
        <v>#N/A</v>
      </c>
      <c r="D231" s="114">
        <f t="shared" si="52"/>
        <v>0</v>
      </c>
      <c r="E231" s="114" t="e">
        <f t="shared" si="47"/>
        <v>#N/A</v>
      </c>
      <c r="F231" s="108" t="e">
        <f t="shared" si="53"/>
        <v>#N/A</v>
      </c>
      <c r="G231" s="114">
        <f t="shared" si="54"/>
        <v>0</v>
      </c>
      <c r="H231" s="110">
        <v>231</v>
      </c>
      <c r="I231" s="115">
        <v>0.0007</v>
      </c>
      <c r="J231" s="116">
        <v>-0.0013</v>
      </c>
      <c r="K231" s="115">
        <v>0.000209</v>
      </c>
      <c r="L231" s="116">
        <v>0.0014</v>
      </c>
      <c r="M231" s="117">
        <v>0.0072</v>
      </c>
      <c r="N231" s="118">
        <f>IF(A231&gt;Dados!$C$16,0,IF(A231=Dados!$C$16,1,SUMIF($A$3:$A$500,CONCATENATE("&gt;",TEXT(DATEVALUE(TEXT(A231,"dd/mm/aaaa")),0)),$M$3:$M$500)-SUMIF($A$3:$A$500,CONCATENATE("&gt;",TEXT(Dados!$C$16-1,0)),$M$3:$M$500)+1%))</f>
        <v>0</v>
      </c>
      <c r="O231" s="138">
        <v>0.004551</v>
      </c>
      <c r="P231" s="120">
        <f t="shared" si="49"/>
        <v>0.354661</v>
      </c>
      <c r="Q231" s="138">
        <v>0.004551</v>
      </c>
      <c r="R231" s="120">
        <f t="shared" si="50"/>
        <v>0.354661</v>
      </c>
      <c r="S231" s="138">
        <v>0.004551</v>
      </c>
      <c r="T231" s="120">
        <f t="shared" si="51"/>
        <v>0.354661</v>
      </c>
      <c r="AG231" s="121">
        <f t="shared" si="55"/>
        <v>41456</v>
      </c>
      <c r="AH231" s="121">
        <f t="shared" si="56"/>
        <v>41456</v>
      </c>
      <c r="AI231" s="121">
        <f t="shared" si="57"/>
        <v>41456</v>
      </c>
      <c r="AJ231" s="121">
        <f t="shared" si="58"/>
        <v>41456</v>
      </c>
      <c r="AK231" s="121">
        <f t="shared" si="59"/>
        <v>41456</v>
      </c>
    </row>
    <row r="232" spans="1:37" ht="15">
      <c r="A232" s="113">
        <v>41487</v>
      </c>
      <c r="B232" s="113" t="e">
        <f t="shared" si="46"/>
        <v>#N/A</v>
      </c>
      <c r="C232" s="108" t="e">
        <f t="shared" si="48"/>
        <v>#N/A</v>
      </c>
      <c r="D232" s="114">
        <f t="shared" si="52"/>
        <v>0</v>
      </c>
      <c r="E232" s="114" t="e">
        <f t="shared" si="47"/>
        <v>#N/A</v>
      </c>
      <c r="F232" s="108" t="e">
        <f t="shared" si="53"/>
        <v>#N/A</v>
      </c>
      <c r="G232" s="114">
        <f t="shared" si="54"/>
        <v>0</v>
      </c>
      <c r="H232" s="110">
        <v>232</v>
      </c>
      <c r="I232" s="115">
        <v>0.0016</v>
      </c>
      <c r="J232" s="116">
        <v>0.0016</v>
      </c>
      <c r="K232" s="115">
        <v>0</v>
      </c>
      <c r="L232" s="116">
        <v>0.0046</v>
      </c>
      <c r="M232" s="117">
        <v>0.0071</v>
      </c>
      <c r="N232" s="118">
        <f>IF(A232&gt;Dados!$C$16,0,IF(A232=Dados!$C$16,1,SUMIF($A$3:$A$500,CONCATENATE("&gt;",TEXT(DATEVALUE(TEXT(A232,"dd/mm/aaaa")),0)),$M$3:$M$500)-SUMIF($A$3:$A$500,CONCATENATE("&gt;",TEXT(Dados!$C$16-1,0)),$M$3:$M$500)+1%))</f>
        <v>0</v>
      </c>
      <c r="O232" s="138">
        <v>0.004551</v>
      </c>
      <c r="P232" s="120">
        <f t="shared" si="49"/>
        <v>0.35011</v>
      </c>
      <c r="Q232" s="138">
        <v>0.004551</v>
      </c>
      <c r="R232" s="120">
        <f t="shared" si="50"/>
        <v>0.35011</v>
      </c>
      <c r="S232" s="138">
        <v>0.004551</v>
      </c>
      <c r="T232" s="120">
        <f t="shared" si="51"/>
        <v>0.35011</v>
      </c>
      <c r="AC232" s="104">
        <v>1</v>
      </c>
      <c r="AG232" s="121">
        <f t="shared" si="55"/>
        <v>41487</v>
      </c>
      <c r="AH232" s="121">
        <f t="shared" si="56"/>
        <v>41487</v>
      </c>
      <c r="AI232" s="121">
        <f t="shared" si="57"/>
        <v>41487</v>
      </c>
      <c r="AJ232" s="121">
        <f t="shared" si="58"/>
        <v>41487</v>
      </c>
      <c r="AK232" s="121">
        <f t="shared" si="59"/>
        <v>41487</v>
      </c>
    </row>
    <row r="233" spans="1:37" ht="15">
      <c r="A233" s="113">
        <v>41518</v>
      </c>
      <c r="B233" s="113" t="e">
        <f t="shared" si="46"/>
        <v>#N/A</v>
      </c>
      <c r="C233" s="108" t="e">
        <f t="shared" si="48"/>
        <v>#N/A</v>
      </c>
      <c r="D233" s="114">
        <f t="shared" si="52"/>
        <v>0</v>
      </c>
      <c r="E233" s="114" t="e">
        <f t="shared" si="47"/>
        <v>#N/A</v>
      </c>
      <c r="F233" s="108" t="e">
        <f t="shared" si="53"/>
        <v>#N/A</v>
      </c>
      <c r="G233" s="114">
        <f t="shared" si="54"/>
        <v>0</v>
      </c>
      <c r="H233" s="110">
        <v>233</v>
      </c>
      <c r="I233" s="115">
        <v>0.0027</v>
      </c>
      <c r="J233" s="116">
        <v>0.0027</v>
      </c>
      <c r="K233" s="115">
        <v>7.9E-05</v>
      </c>
      <c r="L233" s="116">
        <v>0.0136</v>
      </c>
      <c r="M233" s="117">
        <v>0.0071</v>
      </c>
      <c r="N233" s="118">
        <f>IF(A233&gt;Dados!$C$16,0,IF(A233=Dados!$C$16,1,SUMIF($A$3:$A$500,CONCATENATE("&gt;",TEXT(DATEVALUE(TEXT(A233,"dd/mm/aaaa")),0)),$M$3:$M$500)-SUMIF($A$3:$A$500,CONCATENATE("&gt;",TEXT(Dados!$C$16-1,0)),$M$3:$M$500)+1%))</f>
        <v>0</v>
      </c>
      <c r="O233" s="138">
        <v>0.004828</v>
      </c>
      <c r="P233" s="120">
        <f t="shared" si="49"/>
        <v>0.345282</v>
      </c>
      <c r="Q233" s="138">
        <v>0.004828</v>
      </c>
      <c r="R233" s="120">
        <f t="shared" si="50"/>
        <v>0.345282</v>
      </c>
      <c r="S233" s="138">
        <v>0.004828</v>
      </c>
      <c r="T233" s="120">
        <f t="shared" si="51"/>
        <v>0.345282</v>
      </c>
      <c r="AG233" s="121">
        <f t="shared" si="55"/>
        <v>41518</v>
      </c>
      <c r="AH233" s="121">
        <f t="shared" si="56"/>
        <v>41518</v>
      </c>
      <c r="AI233" s="121">
        <f t="shared" si="57"/>
        <v>41518</v>
      </c>
      <c r="AJ233" s="121">
        <f t="shared" si="58"/>
        <v>41518</v>
      </c>
      <c r="AK233" s="121">
        <f t="shared" si="59"/>
        <v>41518</v>
      </c>
    </row>
    <row r="234" spans="1:37" ht="15">
      <c r="A234" s="113">
        <v>41548</v>
      </c>
      <c r="B234" s="113" t="e">
        <f t="shared" si="46"/>
        <v>#N/A</v>
      </c>
      <c r="C234" s="108" t="e">
        <f t="shared" si="48"/>
        <v>#N/A</v>
      </c>
      <c r="D234" s="114">
        <f t="shared" si="52"/>
        <v>0</v>
      </c>
      <c r="E234" s="114" t="e">
        <f t="shared" si="47"/>
        <v>#N/A</v>
      </c>
      <c r="F234" s="108" t="e">
        <f t="shared" si="53"/>
        <v>#N/A</v>
      </c>
      <c r="G234" s="114">
        <f t="shared" si="54"/>
        <v>0</v>
      </c>
      <c r="H234" s="110">
        <v>234</v>
      </c>
      <c r="I234" s="115">
        <v>0.0048</v>
      </c>
      <c r="J234" s="116">
        <v>0.0061</v>
      </c>
      <c r="K234" s="115">
        <v>0.00092</v>
      </c>
      <c r="L234" s="116">
        <v>0.0063</v>
      </c>
      <c r="M234" s="117">
        <v>0.0081</v>
      </c>
      <c r="N234" s="118">
        <f>IF(A234&gt;Dados!$C$16,0,IF(A234=Dados!$C$16,1,SUMIF($A$3:$A$500,CONCATENATE("&gt;",TEXT(DATEVALUE(TEXT(A234,"dd/mm/aaaa")),0)),$M$3:$M$500)-SUMIF($A$3:$A$500,CONCATENATE("&gt;",TEXT(Dados!$C$16-1,0)),$M$3:$M$500)+1%))</f>
        <v>0</v>
      </c>
      <c r="O234" s="119">
        <v>0.005</v>
      </c>
      <c r="P234" s="120">
        <f t="shared" si="49"/>
        <v>0.340282</v>
      </c>
      <c r="Q234" s="119">
        <v>0.005</v>
      </c>
      <c r="R234" s="120">
        <f t="shared" si="50"/>
        <v>0.340282</v>
      </c>
      <c r="S234" s="119">
        <v>0.005</v>
      </c>
      <c r="T234" s="120">
        <f t="shared" si="51"/>
        <v>0.340282</v>
      </c>
      <c r="AG234" s="121">
        <f t="shared" si="55"/>
        <v>41548</v>
      </c>
      <c r="AH234" s="121">
        <f t="shared" si="56"/>
        <v>41548</v>
      </c>
      <c r="AI234" s="121">
        <f t="shared" si="57"/>
        <v>41548</v>
      </c>
      <c r="AJ234" s="121">
        <f t="shared" si="58"/>
        <v>41548</v>
      </c>
      <c r="AK234" s="121">
        <f t="shared" si="59"/>
        <v>41548</v>
      </c>
    </row>
    <row r="235" spans="1:37" ht="15">
      <c r="A235" s="113">
        <v>41579</v>
      </c>
      <c r="B235" s="113" t="e">
        <f t="shared" si="46"/>
        <v>#N/A</v>
      </c>
      <c r="C235" s="108" t="e">
        <f t="shared" si="48"/>
        <v>#N/A</v>
      </c>
      <c r="D235" s="114">
        <f t="shared" si="52"/>
        <v>0</v>
      </c>
      <c r="E235" s="114" t="e">
        <f t="shared" si="47"/>
        <v>#N/A</v>
      </c>
      <c r="F235" s="108" t="e">
        <f t="shared" si="53"/>
        <v>#N/A</v>
      </c>
      <c r="G235" s="114">
        <f t="shared" si="54"/>
        <v>0</v>
      </c>
      <c r="H235" s="110">
        <v>235</v>
      </c>
      <c r="I235" s="115">
        <v>0.0057</v>
      </c>
      <c r="J235" s="116">
        <v>0.0054</v>
      </c>
      <c r="K235" s="115">
        <v>0.000207</v>
      </c>
      <c r="L235" s="116">
        <v>0.0028</v>
      </c>
      <c r="M235" s="117">
        <v>0.0072</v>
      </c>
      <c r="N235" s="118">
        <f>IF(A235&gt;Dados!$C$16,0,IF(A235=Dados!$C$16,1,SUMIF($A$3:$A$500,CONCATENATE("&gt;",TEXT(DATEVALUE(TEXT(A235,"dd/mm/aaaa")),0)),$M$3:$M$500)-SUMIF($A$3:$A$500,CONCATENATE("&gt;",TEXT(Dados!$C$16-1,0)),$M$3:$M$500)+1%))</f>
        <v>0</v>
      </c>
      <c r="O235" s="119">
        <v>0.005</v>
      </c>
      <c r="P235" s="120">
        <f t="shared" si="49"/>
        <v>0.335282</v>
      </c>
      <c r="Q235" s="119">
        <v>0.005</v>
      </c>
      <c r="R235" s="120">
        <f t="shared" si="50"/>
        <v>0.335282</v>
      </c>
      <c r="S235" s="119">
        <v>0.005</v>
      </c>
      <c r="T235" s="120">
        <f t="shared" si="51"/>
        <v>0.335282</v>
      </c>
      <c r="AG235" s="121">
        <f t="shared" si="55"/>
        <v>41579</v>
      </c>
      <c r="AH235" s="121">
        <f t="shared" si="56"/>
        <v>41579</v>
      </c>
      <c r="AI235" s="121">
        <f t="shared" si="57"/>
        <v>41579</v>
      </c>
      <c r="AJ235" s="121">
        <f t="shared" si="58"/>
        <v>41579</v>
      </c>
      <c r="AK235" s="121">
        <f t="shared" si="59"/>
        <v>41579</v>
      </c>
    </row>
    <row r="236" spans="1:37" ht="15">
      <c r="A236" s="113">
        <v>41609</v>
      </c>
      <c r="B236" s="113" t="e">
        <f t="shared" si="46"/>
        <v>#N/A</v>
      </c>
      <c r="C236" s="108" t="e">
        <f t="shared" si="48"/>
        <v>#N/A</v>
      </c>
      <c r="D236" s="114">
        <f t="shared" si="52"/>
        <v>0</v>
      </c>
      <c r="E236" s="114" t="e">
        <f t="shared" si="47"/>
        <v>#N/A</v>
      </c>
      <c r="F236" s="108" t="e">
        <f t="shared" si="53"/>
        <v>#N/A</v>
      </c>
      <c r="G236" s="114">
        <f t="shared" si="54"/>
        <v>0</v>
      </c>
      <c r="H236" s="110">
        <v>236</v>
      </c>
      <c r="I236" s="115">
        <v>0.0075</v>
      </c>
      <c r="J236" s="116">
        <v>0.0072</v>
      </c>
      <c r="K236" s="115">
        <v>0.000494</v>
      </c>
      <c r="L236" s="116">
        <v>0.0069</v>
      </c>
      <c r="M236" s="117">
        <v>0.0079</v>
      </c>
      <c r="N236" s="118">
        <f>IF(A236&gt;Dados!$C$16,0,IF(A236=Dados!$C$16,1,SUMIF($A$3:$A$500,CONCATENATE("&gt;",TEXT(DATEVALUE(TEXT(A236,"dd/mm/aaaa")),0)),$M$3:$M$500)-SUMIF($A$3:$A$500,CONCATENATE("&gt;",TEXT(Dados!$C$16-1,0)),$M$3:$M$500)+1%))</f>
        <v>0</v>
      </c>
      <c r="O236" s="119">
        <v>0.005</v>
      </c>
      <c r="P236" s="120">
        <f t="shared" si="49"/>
        <v>0.330282</v>
      </c>
      <c r="Q236" s="119">
        <v>0.005</v>
      </c>
      <c r="R236" s="120">
        <f t="shared" si="50"/>
        <v>0.330282</v>
      </c>
      <c r="S236" s="119">
        <v>0.005</v>
      </c>
      <c r="T236" s="120">
        <f t="shared" si="51"/>
        <v>0.330282</v>
      </c>
      <c r="AG236" s="121">
        <f t="shared" si="55"/>
        <v>41609</v>
      </c>
      <c r="AH236" s="121">
        <f t="shared" si="56"/>
        <v>41609</v>
      </c>
      <c r="AI236" s="121">
        <f t="shared" si="57"/>
        <v>41609</v>
      </c>
      <c r="AJ236" s="121">
        <f t="shared" si="58"/>
        <v>41609</v>
      </c>
      <c r="AK236" s="121">
        <f t="shared" si="59"/>
        <v>41609</v>
      </c>
    </row>
    <row r="237" spans="1:37" ht="15">
      <c r="A237" s="113">
        <v>41640</v>
      </c>
      <c r="B237" s="113" t="e">
        <f t="shared" si="46"/>
        <v>#N/A</v>
      </c>
      <c r="C237" s="108" t="e">
        <f t="shared" si="48"/>
        <v>#N/A</v>
      </c>
      <c r="D237" s="114">
        <f t="shared" si="52"/>
        <v>0</v>
      </c>
      <c r="E237" s="114" t="e">
        <f t="shared" si="47"/>
        <v>#N/A</v>
      </c>
      <c r="F237" s="108" t="e">
        <f t="shared" si="53"/>
        <v>#N/A</v>
      </c>
      <c r="G237" s="114">
        <f t="shared" si="54"/>
        <v>0</v>
      </c>
      <c r="H237" s="110">
        <v>237</v>
      </c>
      <c r="I237" s="115">
        <v>0.0067</v>
      </c>
      <c r="J237" s="116">
        <v>0.0063</v>
      </c>
      <c r="K237" s="115">
        <v>0.001126</v>
      </c>
      <c r="L237" s="116">
        <v>0.004</v>
      </c>
      <c r="M237" s="117">
        <v>0.0085</v>
      </c>
      <c r="N237" s="118">
        <f>IF(A237&gt;Dados!$C$16,0,IF(A237=Dados!$C$16,1,SUMIF($A$3:$A$500,CONCATENATE("&gt;",TEXT(DATEVALUE(TEXT(A237,"dd/mm/aaaa")),0)),$M$3:$M$500)-SUMIF($A$3:$A$500,CONCATENATE("&gt;",TEXT(Dados!$C$16-1,0)),$M$3:$M$500)+1%))</f>
        <v>0</v>
      </c>
      <c r="O237" s="119">
        <v>0.005</v>
      </c>
      <c r="P237" s="120">
        <f t="shared" si="49"/>
        <v>0.325282</v>
      </c>
      <c r="Q237" s="119">
        <v>0.005</v>
      </c>
      <c r="R237" s="120">
        <f t="shared" si="50"/>
        <v>0.325282</v>
      </c>
      <c r="S237" s="119">
        <v>0.005</v>
      </c>
      <c r="T237" s="120">
        <f t="shared" si="51"/>
        <v>0.325282</v>
      </c>
      <c r="AG237" s="121">
        <f t="shared" si="55"/>
        <v>41640</v>
      </c>
      <c r="AH237" s="121">
        <f t="shared" si="56"/>
        <v>41640</v>
      </c>
      <c r="AI237" s="121">
        <f t="shared" si="57"/>
        <v>41640</v>
      </c>
      <c r="AJ237" s="121">
        <f t="shared" si="58"/>
        <v>41640</v>
      </c>
      <c r="AK237" s="121">
        <f t="shared" si="59"/>
        <v>41640</v>
      </c>
    </row>
    <row r="238" spans="1:37" ht="15">
      <c r="A238" s="113">
        <v>41671</v>
      </c>
      <c r="B238" s="113" t="e">
        <f t="shared" si="46"/>
        <v>#N/A</v>
      </c>
      <c r="C238" s="108" t="e">
        <f t="shared" si="48"/>
        <v>#N/A</v>
      </c>
      <c r="D238" s="114">
        <f t="shared" si="52"/>
        <v>0</v>
      </c>
      <c r="E238" s="114" t="e">
        <f t="shared" si="47"/>
        <v>#N/A</v>
      </c>
      <c r="F238" s="108" t="e">
        <f t="shared" si="53"/>
        <v>#N/A</v>
      </c>
      <c r="G238" s="114">
        <f t="shared" si="54"/>
        <v>0</v>
      </c>
      <c r="H238" s="110">
        <v>238</v>
      </c>
      <c r="I238" s="115">
        <v>0.007</v>
      </c>
      <c r="J238" s="116">
        <v>0.0064</v>
      </c>
      <c r="K238" s="115">
        <v>0.000537</v>
      </c>
      <c r="L238" s="116">
        <v>0.0085</v>
      </c>
      <c r="M238" s="117">
        <v>0.0079</v>
      </c>
      <c r="N238" s="118">
        <f>IF(A238&gt;Dados!$C$16,0,IF(A238=Dados!$C$16,1,SUMIF($A$3:$A$500,CONCATENATE("&gt;",TEXT(DATEVALUE(TEXT(A238,"dd/mm/aaaa")),0)),$M$3:$M$500)-SUMIF($A$3:$A$500,CONCATENATE("&gt;",TEXT(Dados!$C$16-1,0)),$M$3:$M$500)+1%))</f>
        <v>0</v>
      </c>
      <c r="O238" s="119">
        <v>0.005</v>
      </c>
      <c r="P238" s="120">
        <f t="shared" si="49"/>
        <v>0.320282</v>
      </c>
      <c r="Q238" s="119">
        <v>0.005</v>
      </c>
      <c r="R238" s="120">
        <f t="shared" si="50"/>
        <v>0.320282</v>
      </c>
      <c r="S238" s="119">
        <v>0.005</v>
      </c>
      <c r="T238" s="120">
        <f t="shared" si="51"/>
        <v>0.320282</v>
      </c>
      <c r="AG238" s="121">
        <f t="shared" si="55"/>
        <v>41671</v>
      </c>
      <c r="AH238" s="121">
        <f t="shared" si="56"/>
        <v>41671</v>
      </c>
      <c r="AI238" s="121">
        <f t="shared" si="57"/>
        <v>41671</v>
      </c>
      <c r="AJ238" s="121">
        <f t="shared" si="58"/>
        <v>41671</v>
      </c>
      <c r="AK238" s="121">
        <f t="shared" si="59"/>
        <v>41671</v>
      </c>
    </row>
    <row r="239" spans="1:37" ht="15">
      <c r="A239" s="113">
        <v>41699</v>
      </c>
      <c r="B239" s="113" t="e">
        <f t="shared" si="46"/>
        <v>#N/A</v>
      </c>
      <c r="C239" s="108" t="e">
        <f t="shared" si="48"/>
        <v>#N/A</v>
      </c>
      <c r="D239" s="114">
        <f t="shared" si="52"/>
        <v>0</v>
      </c>
      <c r="E239" s="114" t="e">
        <f t="shared" si="47"/>
        <v>#N/A</v>
      </c>
      <c r="F239" s="108" t="e">
        <f t="shared" si="53"/>
        <v>#N/A</v>
      </c>
      <c r="G239" s="114">
        <f t="shared" si="54"/>
        <v>0</v>
      </c>
      <c r="H239" s="110">
        <v>239</v>
      </c>
      <c r="I239" s="115">
        <v>0.0073</v>
      </c>
      <c r="J239" s="116">
        <v>0.0082</v>
      </c>
      <c r="K239" s="115">
        <v>0.000266</v>
      </c>
      <c r="L239" s="116">
        <v>0.0148</v>
      </c>
      <c r="M239" s="117">
        <v>0.0077</v>
      </c>
      <c r="N239" s="118">
        <f>IF(A239&gt;Dados!$C$16,0,IF(A239=Dados!$C$16,1,SUMIF($A$3:$A$500,CONCATENATE("&gt;",TEXT(DATEVALUE(TEXT(A239,"dd/mm/aaaa")),0)),$M$3:$M$500)-SUMIF($A$3:$A$500,CONCATENATE("&gt;",TEXT(Dados!$C$16-1,0)),$M$3:$M$500)+1%))</f>
        <v>0</v>
      </c>
      <c r="O239" s="119">
        <v>0.005</v>
      </c>
      <c r="P239" s="120">
        <f t="shared" si="49"/>
        <v>0.315282</v>
      </c>
      <c r="Q239" s="119">
        <v>0.005</v>
      </c>
      <c r="R239" s="120">
        <f t="shared" si="50"/>
        <v>0.315282</v>
      </c>
      <c r="S239" s="119">
        <v>0.005</v>
      </c>
      <c r="T239" s="120">
        <f t="shared" si="51"/>
        <v>0.315282</v>
      </c>
      <c r="AG239" s="121">
        <f t="shared" si="55"/>
        <v>41699</v>
      </c>
      <c r="AH239" s="121">
        <f t="shared" si="56"/>
        <v>41699</v>
      </c>
      <c r="AI239" s="121">
        <f t="shared" si="57"/>
        <v>41699</v>
      </c>
      <c r="AJ239" s="121">
        <f t="shared" si="58"/>
        <v>41699</v>
      </c>
      <c r="AK239" s="121">
        <f t="shared" si="59"/>
        <v>41699</v>
      </c>
    </row>
    <row r="240" spans="1:37" ht="15">
      <c r="A240" s="113">
        <v>41730</v>
      </c>
      <c r="B240" s="113" t="e">
        <f t="shared" si="46"/>
        <v>#N/A</v>
      </c>
      <c r="C240" s="108" t="e">
        <f t="shared" si="48"/>
        <v>#N/A</v>
      </c>
      <c r="D240" s="114">
        <f t="shared" si="52"/>
        <v>0</v>
      </c>
      <c r="E240" s="114" t="e">
        <f t="shared" si="47"/>
        <v>#N/A</v>
      </c>
      <c r="F240" s="108" t="e">
        <f t="shared" si="53"/>
        <v>#N/A</v>
      </c>
      <c r="G240" s="114">
        <f t="shared" si="54"/>
        <v>0</v>
      </c>
      <c r="H240" s="110">
        <v>240</v>
      </c>
      <c r="I240" s="115">
        <v>0.0078</v>
      </c>
      <c r="J240" s="116">
        <v>0.0078</v>
      </c>
      <c r="K240" s="115">
        <v>0.000459</v>
      </c>
      <c r="L240" s="116">
        <v>0.0045</v>
      </c>
      <c r="M240" s="117">
        <v>0.0082</v>
      </c>
      <c r="N240" s="118">
        <f>IF(A240&gt;Dados!$C$16,0,IF(A240=Dados!$C$16,1,SUMIF($A$3:$A$500,CONCATENATE("&gt;",TEXT(DATEVALUE(TEXT(A240,"dd/mm/aaaa")),0)),$M$3:$M$500)-SUMIF($A$3:$A$500,CONCATENATE("&gt;",TEXT(Dados!$C$16-1,0)),$M$3:$M$500)+1%))</f>
        <v>0</v>
      </c>
      <c r="O240" s="119">
        <v>0.005</v>
      </c>
      <c r="P240" s="120">
        <f t="shared" si="49"/>
        <v>0.310282</v>
      </c>
      <c r="Q240" s="119">
        <v>0.005</v>
      </c>
      <c r="R240" s="120">
        <f t="shared" si="50"/>
        <v>0.310282</v>
      </c>
      <c r="S240" s="119">
        <v>0.005</v>
      </c>
      <c r="T240" s="120">
        <f t="shared" si="51"/>
        <v>0.310282</v>
      </c>
      <c r="AG240" s="121">
        <f t="shared" si="55"/>
        <v>41730</v>
      </c>
      <c r="AH240" s="121">
        <f t="shared" si="56"/>
        <v>41730</v>
      </c>
      <c r="AI240" s="121">
        <f t="shared" si="57"/>
        <v>41730</v>
      </c>
      <c r="AJ240" s="121">
        <f t="shared" si="58"/>
        <v>41730</v>
      </c>
      <c r="AK240" s="121">
        <f t="shared" si="59"/>
        <v>41730</v>
      </c>
    </row>
    <row r="241" spans="1:37" ht="15">
      <c r="A241" s="113">
        <v>41760</v>
      </c>
      <c r="B241" s="113" t="e">
        <f t="shared" si="46"/>
        <v>#N/A</v>
      </c>
      <c r="C241" s="108" t="e">
        <f t="shared" si="48"/>
        <v>#N/A</v>
      </c>
      <c r="D241" s="114">
        <f t="shared" si="52"/>
        <v>0</v>
      </c>
      <c r="E241" s="114" t="e">
        <f t="shared" si="47"/>
        <v>#N/A</v>
      </c>
      <c r="F241" s="108" t="e">
        <f t="shared" si="53"/>
        <v>#N/A</v>
      </c>
      <c r="G241" s="114">
        <f t="shared" si="54"/>
        <v>0</v>
      </c>
      <c r="H241" s="110">
        <v>241</v>
      </c>
      <c r="I241" s="115">
        <v>0.0058</v>
      </c>
      <c r="J241" s="116">
        <v>0.006</v>
      </c>
      <c r="K241" s="115">
        <v>0.000604</v>
      </c>
      <c r="L241" s="116">
        <v>-0.0045</v>
      </c>
      <c r="M241" s="117">
        <v>0.0087</v>
      </c>
      <c r="N241" s="118">
        <f>IF(A241&gt;Dados!$C$16,0,IF(A241=Dados!$C$16,1,SUMIF($A$3:$A$500,CONCATENATE("&gt;",TEXT(DATEVALUE(TEXT(A241,"dd/mm/aaaa")),0)),$M$3:$M$500)-SUMIF($A$3:$A$500,CONCATENATE("&gt;",TEXT(Dados!$C$16-1,0)),$M$3:$M$500)+1%))</f>
        <v>0</v>
      </c>
      <c r="O241" s="119">
        <v>0.005</v>
      </c>
      <c r="P241" s="120">
        <f t="shared" si="49"/>
        <v>0.305282</v>
      </c>
      <c r="Q241" s="119">
        <v>0.005</v>
      </c>
      <c r="R241" s="120">
        <f t="shared" si="50"/>
        <v>0.305282</v>
      </c>
      <c r="S241" s="119">
        <v>0.005</v>
      </c>
      <c r="T241" s="120">
        <f t="shared" si="51"/>
        <v>0.305282</v>
      </c>
      <c r="AG241" s="121">
        <f t="shared" si="55"/>
        <v>41760</v>
      </c>
      <c r="AH241" s="121">
        <f t="shared" si="56"/>
        <v>41760</v>
      </c>
      <c r="AI241" s="121">
        <f t="shared" si="57"/>
        <v>41760</v>
      </c>
      <c r="AJ241" s="121">
        <f t="shared" si="58"/>
        <v>41760</v>
      </c>
      <c r="AK241" s="121">
        <f t="shared" si="59"/>
        <v>41760</v>
      </c>
    </row>
    <row r="242" spans="1:37" ht="15">
      <c r="A242" s="113">
        <v>41791</v>
      </c>
      <c r="B242" s="113" t="e">
        <f t="shared" si="46"/>
        <v>#N/A</v>
      </c>
      <c r="C242" s="108" t="e">
        <f t="shared" si="48"/>
        <v>#N/A</v>
      </c>
      <c r="D242" s="114">
        <f t="shared" si="52"/>
        <v>0</v>
      </c>
      <c r="E242" s="114" t="e">
        <f t="shared" si="47"/>
        <v>#N/A</v>
      </c>
      <c r="F242" s="108" t="e">
        <f t="shared" si="53"/>
        <v>#N/A</v>
      </c>
      <c r="G242" s="114">
        <f t="shared" si="54"/>
        <v>0</v>
      </c>
      <c r="H242" s="110">
        <v>242</v>
      </c>
      <c r="I242" s="115">
        <v>0.0047</v>
      </c>
      <c r="J242" s="116">
        <v>0.0026</v>
      </c>
      <c r="K242" s="115">
        <v>0.000465</v>
      </c>
      <c r="L242" s="116">
        <v>-0.0063</v>
      </c>
      <c r="M242" s="117">
        <v>0.0082</v>
      </c>
      <c r="N242" s="118">
        <f>IF(A242&gt;Dados!$C$16,0,IF(A242=Dados!$C$16,1,SUMIF($A$3:$A$500,CONCATENATE("&gt;",TEXT(DATEVALUE(TEXT(A242,"dd/mm/aaaa")),0)),$M$3:$M$500)-SUMIF($A$3:$A$500,CONCATENATE("&gt;",TEXT(Dados!$C$16-1,0)),$M$3:$M$500)+1%))</f>
        <v>0</v>
      </c>
      <c r="O242" s="119">
        <v>0.005</v>
      </c>
      <c r="P242" s="120">
        <f t="shared" si="49"/>
        <v>0.300282</v>
      </c>
      <c r="Q242" s="119">
        <v>0.005</v>
      </c>
      <c r="R242" s="120">
        <f t="shared" si="50"/>
        <v>0.300282</v>
      </c>
      <c r="S242" s="119">
        <v>0.005</v>
      </c>
      <c r="T242" s="120">
        <f t="shared" si="51"/>
        <v>0.300282</v>
      </c>
      <c r="AG242" s="121">
        <f t="shared" si="55"/>
        <v>41791</v>
      </c>
      <c r="AH242" s="121">
        <f t="shared" si="56"/>
        <v>41791</v>
      </c>
      <c r="AI242" s="121">
        <f t="shared" si="57"/>
        <v>41791</v>
      </c>
      <c r="AJ242" s="121">
        <f t="shared" si="58"/>
        <v>41791</v>
      </c>
      <c r="AK242" s="121">
        <f t="shared" si="59"/>
        <v>41791</v>
      </c>
    </row>
    <row r="243" spans="1:37" ht="15">
      <c r="A243" s="113">
        <v>41821</v>
      </c>
      <c r="B243" s="113" t="e">
        <f t="shared" si="46"/>
        <v>#N/A</v>
      </c>
      <c r="C243" s="108" t="e">
        <f t="shared" si="48"/>
        <v>#N/A</v>
      </c>
      <c r="D243" s="114">
        <f t="shared" si="52"/>
        <v>0</v>
      </c>
      <c r="E243" s="114" t="e">
        <f t="shared" si="47"/>
        <v>#N/A</v>
      </c>
      <c r="F243" s="108" t="e">
        <f t="shared" si="53"/>
        <v>#N/A</v>
      </c>
      <c r="G243" s="114">
        <f t="shared" si="54"/>
        <v>0</v>
      </c>
      <c r="H243" s="110">
        <v>243</v>
      </c>
      <c r="I243" s="115">
        <v>0.0017</v>
      </c>
      <c r="J243" s="116">
        <v>0.0013</v>
      </c>
      <c r="K243" s="115">
        <v>0.001054</v>
      </c>
      <c r="L243" s="116">
        <v>-0.0055</v>
      </c>
      <c r="M243" s="117">
        <v>0.0095</v>
      </c>
      <c r="N243" s="118">
        <f>IF(A243&gt;Dados!$C$16,0,IF(A243=Dados!$C$16,1,SUMIF($A$3:$A$500,CONCATENATE("&gt;",TEXT(DATEVALUE(TEXT(A243,"dd/mm/aaaa")),0)),$M$3:$M$500)-SUMIF($A$3:$A$500,CONCATENATE("&gt;",TEXT(Dados!$C$16-1,0)),$M$3:$M$500)+1%))</f>
        <v>0</v>
      </c>
      <c r="O243" s="119">
        <v>0.005</v>
      </c>
      <c r="P243" s="120">
        <f t="shared" si="49"/>
        <v>0.295282</v>
      </c>
      <c r="Q243" s="119">
        <v>0.005</v>
      </c>
      <c r="R243" s="120">
        <f t="shared" si="50"/>
        <v>0.295282</v>
      </c>
      <c r="S243" s="119">
        <v>0.005</v>
      </c>
      <c r="T243" s="120">
        <f t="shared" si="51"/>
        <v>0.295282</v>
      </c>
      <c r="AG243" s="121">
        <f t="shared" si="55"/>
        <v>41821</v>
      </c>
      <c r="AH243" s="121">
        <f t="shared" si="56"/>
        <v>41821</v>
      </c>
      <c r="AI243" s="121">
        <f t="shared" si="57"/>
        <v>41821</v>
      </c>
      <c r="AJ243" s="121">
        <f t="shared" si="58"/>
        <v>41821</v>
      </c>
      <c r="AK243" s="121">
        <f t="shared" si="59"/>
        <v>41821</v>
      </c>
    </row>
    <row r="244" spans="1:37" ht="15">
      <c r="A244" s="113">
        <v>41852</v>
      </c>
      <c r="B244" s="113" t="e">
        <f t="shared" si="46"/>
        <v>#N/A</v>
      </c>
      <c r="C244" s="108" t="e">
        <f t="shared" si="48"/>
        <v>#N/A</v>
      </c>
      <c r="D244" s="114">
        <f t="shared" si="52"/>
        <v>0</v>
      </c>
      <c r="E244" s="114" t="e">
        <f t="shared" si="47"/>
        <v>#N/A</v>
      </c>
      <c r="F244" s="108" t="e">
        <f t="shared" si="53"/>
        <v>#N/A</v>
      </c>
      <c r="G244" s="114">
        <f t="shared" si="54"/>
        <v>0</v>
      </c>
      <c r="H244" s="110">
        <v>244</v>
      </c>
      <c r="I244" s="115">
        <v>0.0014</v>
      </c>
      <c r="J244" s="116">
        <v>0.0018</v>
      </c>
      <c r="K244" s="115">
        <v>0.000602</v>
      </c>
      <c r="L244" s="116">
        <v>0.0006</v>
      </c>
      <c r="M244" s="117">
        <v>0.0087</v>
      </c>
      <c r="N244" s="118">
        <f>IF(A244&gt;Dados!$C$16,0,IF(A244=Dados!$C$16,1,SUMIF($A$3:$A$500,CONCATENATE("&gt;",TEXT(DATEVALUE(TEXT(A244,"dd/mm/aaaa")),0)),$M$3:$M$500)-SUMIF($A$3:$A$500,CONCATENATE("&gt;",TEXT(Dados!$C$16-1,0)),$M$3:$M$500)+1%))</f>
        <v>0</v>
      </c>
      <c r="O244" s="119">
        <v>0.005</v>
      </c>
      <c r="P244" s="120">
        <f t="shared" si="49"/>
        <v>0.290282</v>
      </c>
      <c r="Q244" s="119">
        <v>0.005</v>
      </c>
      <c r="R244" s="120">
        <f t="shared" si="50"/>
        <v>0.290282</v>
      </c>
      <c r="S244" s="119">
        <v>0.005</v>
      </c>
      <c r="T244" s="120">
        <f t="shared" si="51"/>
        <v>0.290282</v>
      </c>
      <c r="AG244" s="121">
        <f t="shared" si="55"/>
        <v>41852</v>
      </c>
      <c r="AH244" s="121">
        <f t="shared" si="56"/>
        <v>41852</v>
      </c>
      <c r="AI244" s="121">
        <f t="shared" si="57"/>
        <v>41852</v>
      </c>
      <c r="AJ244" s="121">
        <f t="shared" si="58"/>
        <v>41852</v>
      </c>
      <c r="AK244" s="121">
        <f t="shared" si="59"/>
        <v>41852</v>
      </c>
    </row>
    <row r="245" spans="1:37" ht="15">
      <c r="A245" s="113">
        <v>41883</v>
      </c>
      <c r="B245" s="113" t="e">
        <f t="shared" si="46"/>
        <v>#N/A</v>
      </c>
      <c r="C245" s="108" t="e">
        <f t="shared" si="48"/>
        <v>#N/A</v>
      </c>
      <c r="D245" s="114">
        <f t="shared" si="52"/>
        <v>0</v>
      </c>
      <c r="E245" s="114" t="e">
        <f t="shared" si="47"/>
        <v>#N/A</v>
      </c>
      <c r="F245" s="108" t="e">
        <f t="shared" si="53"/>
        <v>#N/A</v>
      </c>
      <c r="G245" s="114">
        <f t="shared" si="54"/>
        <v>0</v>
      </c>
      <c r="H245" s="110">
        <v>245</v>
      </c>
      <c r="I245" s="115">
        <v>0.0039</v>
      </c>
      <c r="J245" s="116">
        <v>0.0049</v>
      </c>
      <c r="K245" s="115">
        <v>0.000873</v>
      </c>
      <c r="L245" s="116">
        <v>0.0002</v>
      </c>
      <c r="M245" s="117">
        <v>0.0091</v>
      </c>
      <c r="N245" s="118">
        <f>IF(A245&gt;Dados!$C$16,0,IF(A245=Dados!$C$16,1,SUMIF($A$3:$A$500,CONCATENATE("&gt;",TEXT(DATEVALUE(TEXT(A245,"dd/mm/aaaa")),0)),$M$3:$M$500)-SUMIF($A$3:$A$500,CONCATENATE("&gt;",TEXT(Dados!$C$16-1,0)),$M$3:$M$500)+1%))</f>
        <v>0</v>
      </c>
      <c r="O245" s="119">
        <v>0.005</v>
      </c>
      <c r="P245" s="120">
        <f t="shared" si="49"/>
        <v>0.285282</v>
      </c>
      <c r="Q245" s="119">
        <v>0.005</v>
      </c>
      <c r="R245" s="120">
        <f t="shared" si="50"/>
        <v>0.285282</v>
      </c>
      <c r="S245" s="119">
        <v>0.005</v>
      </c>
      <c r="T245" s="120">
        <f t="shared" si="51"/>
        <v>0.285282</v>
      </c>
      <c r="AG245" s="121">
        <f t="shared" si="55"/>
        <v>41883</v>
      </c>
      <c r="AH245" s="121">
        <f t="shared" si="56"/>
        <v>41883</v>
      </c>
      <c r="AI245" s="121">
        <f t="shared" si="57"/>
        <v>41883</v>
      </c>
      <c r="AJ245" s="121">
        <f t="shared" si="58"/>
        <v>41883</v>
      </c>
      <c r="AK245" s="121">
        <f t="shared" si="59"/>
        <v>41883</v>
      </c>
    </row>
    <row r="246" spans="1:37" ht="15">
      <c r="A246" s="113">
        <v>41913</v>
      </c>
      <c r="B246" s="113" t="e">
        <f t="shared" si="46"/>
        <v>#N/A</v>
      </c>
      <c r="C246" s="108" t="e">
        <f t="shared" si="48"/>
        <v>#N/A</v>
      </c>
      <c r="D246" s="114">
        <f t="shared" si="52"/>
        <v>0</v>
      </c>
      <c r="E246" s="114" t="e">
        <f t="shared" si="47"/>
        <v>#N/A</v>
      </c>
      <c r="F246" s="108" t="e">
        <f t="shared" si="53"/>
        <v>#N/A</v>
      </c>
      <c r="G246" s="114">
        <f t="shared" si="54"/>
        <v>0</v>
      </c>
      <c r="H246" s="110">
        <v>246</v>
      </c>
      <c r="I246" s="115">
        <v>0.0048</v>
      </c>
      <c r="J246" s="116">
        <v>0.0038</v>
      </c>
      <c r="K246" s="115">
        <v>0.001038</v>
      </c>
      <c r="L246" s="116">
        <v>0.0059</v>
      </c>
      <c r="M246" s="117">
        <v>0.0095</v>
      </c>
      <c r="N246" s="118">
        <f>IF(A246&gt;Dados!$C$16,0,IF(A246=Dados!$C$16,1,SUMIF($A$3:$A$500,CONCATENATE("&gt;",TEXT(DATEVALUE(TEXT(A246,"dd/mm/aaaa")),0)),$M$3:$M$500)-SUMIF($A$3:$A$500,CONCATENATE("&gt;",TEXT(Dados!$C$16-1,0)),$M$3:$M$500)+1%))</f>
        <v>0</v>
      </c>
      <c r="O246" s="119">
        <v>0.005</v>
      </c>
      <c r="P246" s="120">
        <f t="shared" si="49"/>
        <v>0.280282</v>
      </c>
      <c r="Q246" s="119">
        <v>0.005</v>
      </c>
      <c r="R246" s="120">
        <f t="shared" si="50"/>
        <v>0.280282</v>
      </c>
      <c r="S246" s="119">
        <v>0.005</v>
      </c>
      <c r="T246" s="120">
        <f t="shared" si="51"/>
        <v>0.280282</v>
      </c>
      <c r="AG246" s="121">
        <f t="shared" si="55"/>
        <v>41913</v>
      </c>
      <c r="AH246" s="121">
        <f t="shared" si="56"/>
        <v>41913</v>
      </c>
      <c r="AI246" s="121">
        <f t="shared" si="57"/>
        <v>41913</v>
      </c>
      <c r="AJ246" s="121">
        <f t="shared" si="58"/>
        <v>41913</v>
      </c>
      <c r="AK246" s="121">
        <f t="shared" si="59"/>
        <v>41913</v>
      </c>
    </row>
    <row r="247" spans="1:37" ht="15">
      <c r="A247" s="113">
        <v>41944</v>
      </c>
      <c r="B247" s="113" t="e">
        <f t="shared" si="46"/>
        <v>#N/A</v>
      </c>
      <c r="C247" s="108" t="e">
        <f t="shared" si="48"/>
        <v>#N/A</v>
      </c>
      <c r="D247" s="114">
        <f t="shared" si="52"/>
        <v>0</v>
      </c>
      <c r="E247" s="114" t="e">
        <f t="shared" si="47"/>
        <v>#N/A</v>
      </c>
      <c r="F247" s="108" t="e">
        <f t="shared" si="53"/>
        <v>#N/A</v>
      </c>
      <c r="G247" s="114">
        <f t="shared" si="54"/>
        <v>0</v>
      </c>
      <c r="H247" s="110">
        <v>247</v>
      </c>
      <c r="I247" s="115">
        <v>0.0038</v>
      </c>
      <c r="J247" s="116">
        <v>0.0053</v>
      </c>
      <c r="K247" s="115">
        <v>0.000483</v>
      </c>
      <c r="L247" s="116">
        <v>0.0114</v>
      </c>
      <c r="M247" s="117">
        <v>0.0084</v>
      </c>
      <c r="N247" s="118">
        <f>IF(A247&gt;Dados!$C$16,0,IF(A247=Dados!$C$16,1,SUMIF($A$3:$A$500,CONCATENATE("&gt;",TEXT(DATEVALUE(TEXT(A247,"dd/mm/aaaa")),0)),$M$3:$M$500)-SUMIF($A$3:$A$500,CONCATENATE("&gt;",TEXT(Dados!$C$16-1,0)),$M$3:$M$500)+1%))</f>
        <v>0</v>
      </c>
      <c r="O247" s="119">
        <v>0.005</v>
      </c>
      <c r="P247" s="120">
        <f t="shared" si="49"/>
        <v>0.275282</v>
      </c>
      <c r="Q247" s="119">
        <v>0.005</v>
      </c>
      <c r="R247" s="120">
        <f t="shared" si="50"/>
        <v>0.275282</v>
      </c>
      <c r="S247" s="119">
        <v>0.005</v>
      </c>
      <c r="T247" s="120">
        <f t="shared" si="51"/>
        <v>0.275282</v>
      </c>
      <c r="AG247" s="121">
        <f t="shared" si="55"/>
        <v>41944</v>
      </c>
      <c r="AH247" s="121">
        <f t="shared" si="56"/>
        <v>41944</v>
      </c>
      <c r="AI247" s="121">
        <f t="shared" si="57"/>
        <v>41944</v>
      </c>
      <c r="AJ247" s="121">
        <f t="shared" si="58"/>
        <v>41944</v>
      </c>
      <c r="AK247" s="121">
        <f t="shared" si="59"/>
        <v>41944</v>
      </c>
    </row>
    <row r="248" spans="1:37" ht="15">
      <c r="A248" s="113">
        <v>41974</v>
      </c>
      <c r="B248" s="113" t="e">
        <f>B247</f>
        <v>#N/A</v>
      </c>
      <c r="C248" s="108" t="e">
        <f t="shared" si="48"/>
        <v>#N/A</v>
      </c>
      <c r="D248" s="114">
        <f t="shared" si="52"/>
        <v>0</v>
      </c>
      <c r="E248" s="114" t="e">
        <f>E247</f>
        <v>#N/A</v>
      </c>
      <c r="F248" s="108" t="e">
        <f t="shared" si="53"/>
        <v>#N/A</v>
      </c>
      <c r="G248" s="114">
        <f t="shared" si="54"/>
        <v>0</v>
      </c>
      <c r="H248" s="110">
        <v>248</v>
      </c>
      <c r="I248" s="115">
        <v>0.0079</v>
      </c>
      <c r="J248" s="116">
        <v>0.0062</v>
      </c>
      <c r="K248" s="115">
        <v>0.001053</v>
      </c>
      <c r="L248" s="116">
        <v>0.0038</v>
      </c>
      <c r="M248" s="117">
        <v>0.0096</v>
      </c>
      <c r="N248" s="118">
        <f>IF(A248&gt;Dados!$C$16,0,IF(A248=Dados!$C$16,1,SUMIF($A$3:$A$500,CONCATENATE("&gt;",TEXT(DATEVALUE(TEXT(A248,"dd/mm/aaaa")),0)),$M$3:$M$500)-SUMIF($A$3:$A$500,CONCATENATE("&gt;",TEXT(Dados!$C$16-1,0)),$M$3:$M$500)+1%))</f>
        <v>0</v>
      </c>
      <c r="O248" s="119">
        <v>0.005</v>
      </c>
      <c r="P248" s="120">
        <f t="shared" si="49"/>
        <v>0.270282</v>
      </c>
      <c r="Q248" s="119">
        <v>0.005</v>
      </c>
      <c r="R248" s="120">
        <f t="shared" si="50"/>
        <v>0.270282</v>
      </c>
      <c r="S248" s="119">
        <v>0.005</v>
      </c>
      <c r="T248" s="120">
        <f t="shared" si="51"/>
        <v>0.270282</v>
      </c>
      <c r="AG248" s="121">
        <f t="shared" si="55"/>
        <v>41974</v>
      </c>
      <c r="AH248" s="121">
        <f t="shared" si="56"/>
        <v>41974</v>
      </c>
      <c r="AI248" s="121">
        <f t="shared" si="57"/>
        <v>41974</v>
      </c>
      <c r="AJ248" s="121">
        <f t="shared" si="58"/>
        <v>41974</v>
      </c>
      <c r="AK248" s="121">
        <f t="shared" si="59"/>
        <v>41974</v>
      </c>
    </row>
    <row r="249" spans="1:37" ht="15">
      <c r="A249" s="113">
        <v>42005</v>
      </c>
      <c r="B249" s="113" t="e">
        <f>B248</f>
        <v>#N/A</v>
      </c>
      <c r="C249" s="108" t="e">
        <f t="shared" si="48"/>
        <v>#N/A</v>
      </c>
      <c r="D249" s="114">
        <f t="shared" si="52"/>
        <v>0</v>
      </c>
      <c r="E249" s="114" t="e">
        <f>E248</f>
        <v>#N/A</v>
      </c>
      <c r="F249" s="108" t="e">
        <f t="shared" si="53"/>
        <v>#N/A</v>
      </c>
      <c r="G249" s="114">
        <f t="shared" si="54"/>
        <v>0</v>
      </c>
      <c r="H249" s="110">
        <v>249</v>
      </c>
      <c r="I249" s="115">
        <v>0.0089</v>
      </c>
      <c r="J249" s="116">
        <v>0.0148</v>
      </c>
      <c r="K249" s="115">
        <v>0.000878</v>
      </c>
      <c r="L249" s="116">
        <v>0.0067</v>
      </c>
      <c r="M249" s="117">
        <v>0.0094</v>
      </c>
      <c r="N249" s="118">
        <f>IF(A249&gt;Dados!$C$16,0,IF(A249=Dados!$C$16,1,SUMIF($A$3:$A$500,CONCATENATE("&gt;",TEXT(DATEVALUE(TEXT(A249,"dd/mm/aaaa")),0)),$M$3:$M$500)-SUMIF($A$3:$A$500,CONCATENATE("&gt;",TEXT(Dados!$C$16-1,0)),$M$3:$M$500)+1%))</f>
        <v>0</v>
      </c>
      <c r="O249" s="119">
        <v>0.005</v>
      </c>
      <c r="P249" s="120">
        <f t="shared" si="49"/>
        <v>0.265282</v>
      </c>
      <c r="Q249" s="119">
        <v>0.005</v>
      </c>
      <c r="R249" s="120">
        <f t="shared" si="50"/>
        <v>0.265282</v>
      </c>
      <c r="S249" s="119">
        <v>0.005</v>
      </c>
      <c r="T249" s="120">
        <f t="shared" si="51"/>
        <v>0.265282</v>
      </c>
      <c r="AG249" s="121">
        <f t="shared" si="55"/>
        <v>42005</v>
      </c>
      <c r="AH249" s="121">
        <f t="shared" si="56"/>
        <v>42005</v>
      </c>
      <c r="AI249" s="121">
        <f t="shared" si="57"/>
        <v>42005</v>
      </c>
      <c r="AJ249" s="121">
        <f t="shared" si="58"/>
        <v>42005</v>
      </c>
      <c r="AK249" s="121">
        <f t="shared" si="59"/>
        <v>42005</v>
      </c>
    </row>
    <row r="250" spans="1:37" ht="15">
      <c r="A250" s="113">
        <v>42036</v>
      </c>
      <c r="B250" s="113" t="e">
        <f>B249</f>
        <v>#N/A</v>
      </c>
      <c r="C250" s="108" t="e">
        <f t="shared" si="48"/>
        <v>#N/A</v>
      </c>
      <c r="D250" s="114">
        <f t="shared" si="52"/>
        <v>0</v>
      </c>
      <c r="E250" s="114" t="e">
        <f>E249</f>
        <v>#N/A</v>
      </c>
      <c r="F250" s="108" t="e">
        <f t="shared" si="53"/>
        <v>#N/A</v>
      </c>
      <c r="G250" s="114">
        <f t="shared" si="54"/>
        <v>0</v>
      </c>
      <c r="H250" s="110">
        <v>250</v>
      </c>
      <c r="I250" s="115">
        <v>0.0133</v>
      </c>
      <c r="J250" s="116">
        <v>0.0116</v>
      </c>
      <c r="K250" s="115">
        <v>0.000168</v>
      </c>
      <c r="L250" s="116">
        <v>0.0053</v>
      </c>
      <c r="M250" s="117">
        <v>0.0082</v>
      </c>
      <c r="N250" s="118">
        <f>IF(A250&gt;Dados!$C$16,0,IF(A250=Dados!$C$16,1,SUMIF($A$3:$A$500,CONCATENATE("&gt;",TEXT(DATEVALUE(TEXT(A250,"dd/mm/aaaa")),0)),$M$3:$M$500)-SUMIF($A$3:$A$500,CONCATENATE("&gt;",TEXT(Dados!$C$16-1,0)),$M$3:$M$500)+1%))</f>
        <v>0</v>
      </c>
      <c r="O250" s="119">
        <v>0.005</v>
      </c>
      <c r="P250" s="120">
        <f t="shared" si="49"/>
        <v>0.260282</v>
      </c>
      <c r="Q250" s="119">
        <v>0.005</v>
      </c>
      <c r="R250" s="120">
        <f t="shared" si="50"/>
        <v>0.260282</v>
      </c>
      <c r="S250" s="119">
        <v>0.005</v>
      </c>
      <c r="T250" s="120">
        <f t="shared" si="51"/>
        <v>0.260282</v>
      </c>
      <c r="AG250" s="121">
        <f t="shared" si="55"/>
        <v>42036</v>
      </c>
      <c r="AH250" s="121">
        <f t="shared" si="56"/>
        <v>42036</v>
      </c>
      <c r="AI250" s="121">
        <f t="shared" si="57"/>
        <v>42036</v>
      </c>
      <c r="AJ250" s="121">
        <f t="shared" si="58"/>
        <v>42036</v>
      </c>
      <c r="AK250" s="121">
        <f t="shared" si="59"/>
        <v>42036</v>
      </c>
    </row>
    <row r="251" spans="1:37" ht="15">
      <c r="A251" s="139">
        <v>42064</v>
      </c>
      <c r="B251" s="139" t="e">
        <f>Dados!T23</f>
        <v>#N/A</v>
      </c>
      <c r="C251" s="108" t="e">
        <f>IF(AND(B250="TR",B251="IPCA-E"),0.3138%,IF(AND(B250="TR",B251="INPC"),0.3854%,IF(B251="IPCA-E",I251,IF(B251="INPC",J251,IF(B251="TR",K251,IF(B251="IGP-DI",L251,IF(B251="SELIC",N251,0)))))))</f>
        <v>#N/A</v>
      </c>
      <c r="D251" s="114">
        <f t="shared" si="52"/>
        <v>0</v>
      </c>
      <c r="E251" s="139" t="e">
        <f>Dados!T63</f>
        <v>#N/A</v>
      </c>
      <c r="F251" s="108" t="e">
        <f t="shared" si="53"/>
        <v>#N/A</v>
      </c>
      <c r="G251" s="114">
        <f t="shared" si="54"/>
        <v>0</v>
      </c>
      <c r="H251" s="140">
        <v>251</v>
      </c>
      <c r="I251" s="141">
        <v>0.0124</v>
      </c>
      <c r="J251" s="142">
        <v>0.0151</v>
      </c>
      <c r="K251" s="141">
        <v>0.001296</v>
      </c>
      <c r="L251" s="142">
        <v>0.0121</v>
      </c>
      <c r="M251" s="143">
        <v>0.0104</v>
      </c>
      <c r="N251" s="118">
        <f>IF(A251&gt;Dados!$C$16,0,IF(A251=Dados!$C$16,1,SUMIF($A$3:$A$500,CONCATENATE("&gt;",TEXT(DATEVALUE(TEXT(A251,"dd/mm/aaaa")),0)),$M$3:$M$500)-SUMIF($A$3:$A$500,CONCATENATE("&gt;",TEXT(Dados!$C$16-1,0)),$M$3:$M$500)+1%))</f>
        <v>0</v>
      </c>
      <c r="O251" s="119">
        <v>0.005</v>
      </c>
      <c r="P251" s="120">
        <f t="shared" si="49"/>
        <v>0.255282</v>
      </c>
      <c r="Q251" s="119">
        <v>0.005</v>
      </c>
      <c r="R251" s="120">
        <f t="shared" si="50"/>
        <v>0.255282</v>
      </c>
      <c r="S251" s="119">
        <v>0.005</v>
      </c>
      <c r="T251" s="120">
        <f t="shared" si="51"/>
        <v>0.255282</v>
      </c>
      <c r="AA251" s="3"/>
      <c r="AB251" s="3"/>
      <c r="AC251" s="3"/>
      <c r="AD251" s="3"/>
      <c r="AE251" s="3"/>
      <c r="AF251" s="3"/>
      <c r="AG251" s="121">
        <f t="shared" si="55"/>
        <v>42064</v>
      </c>
      <c r="AH251" s="121">
        <f t="shared" si="56"/>
        <v>42064</v>
      </c>
      <c r="AI251" s="121">
        <f t="shared" si="57"/>
        <v>42064</v>
      </c>
      <c r="AJ251" s="121">
        <f t="shared" si="58"/>
        <v>42064</v>
      </c>
      <c r="AK251" s="121">
        <f t="shared" si="59"/>
        <v>42064</v>
      </c>
    </row>
    <row r="252" spans="1:37" ht="15">
      <c r="A252" s="113">
        <v>42095</v>
      </c>
      <c r="B252" s="113" t="e">
        <f>B251</f>
        <v>#N/A</v>
      </c>
      <c r="C252" s="108" t="e">
        <f t="shared" si="48"/>
        <v>#N/A</v>
      </c>
      <c r="D252" s="114">
        <f t="shared" si="52"/>
        <v>0</v>
      </c>
      <c r="E252" s="114" t="e">
        <f>E251</f>
        <v>#N/A</v>
      </c>
      <c r="F252" s="108" t="e">
        <f t="shared" si="53"/>
        <v>#N/A</v>
      </c>
      <c r="G252" s="114">
        <f t="shared" si="54"/>
        <v>0</v>
      </c>
      <c r="H252" s="110">
        <v>252</v>
      </c>
      <c r="I252" s="115">
        <v>0.0107</v>
      </c>
      <c r="J252" s="116">
        <v>0.0071</v>
      </c>
      <c r="K252" s="115">
        <v>0.001074</v>
      </c>
      <c r="L252" s="116">
        <v>0.0092</v>
      </c>
      <c r="M252" s="117">
        <v>0.0095</v>
      </c>
      <c r="N252" s="118">
        <f>IF(A252&gt;Dados!$C$16,0,IF(A252=Dados!$C$16,1,SUMIF($A$3:$A$500,CONCATENATE("&gt;",TEXT(DATEVALUE(TEXT(A252,"dd/mm/aaaa")),0)),$M$3:$M$500)-SUMIF($A$3:$A$500,CONCATENATE("&gt;",TEXT(Dados!$C$16-1,0)),$M$3:$M$500)+1%))</f>
        <v>0</v>
      </c>
      <c r="O252" s="119">
        <v>0.005</v>
      </c>
      <c r="P252" s="120">
        <f t="shared" si="49"/>
        <v>0.250282</v>
      </c>
      <c r="Q252" s="119">
        <v>0.005</v>
      </c>
      <c r="R252" s="120">
        <f t="shared" si="50"/>
        <v>0.250282</v>
      </c>
      <c r="S252" s="119">
        <v>0.005</v>
      </c>
      <c r="T252" s="120">
        <f t="shared" si="51"/>
        <v>0.250282</v>
      </c>
      <c r="AG252" s="121">
        <f t="shared" si="55"/>
        <v>42095</v>
      </c>
      <c r="AH252" s="121">
        <f t="shared" si="56"/>
        <v>42095</v>
      </c>
      <c r="AI252" s="121">
        <f t="shared" si="57"/>
        <v>42095</v>
      </c>
      <c r="AJ252" s="121">
        <f t="shared" si="58"/>
        <v>42095</v>
      </c>
      <c r="AK252" s="121">
        <f t="shared" si="59"/>
        <v>42095</v>
      </c>
    </row>
    <row r="253" spans="1:37" ht="15">
      <c r="A253" s="113">
        <v>42125</v>
      </c>
      <c r="B253" s="113" t="e">
        <f aca="true" t="shared" si="60" ref="B253:B280">B252</f>
        <v>#N/A</v>
      </c>
      <c r="C253" s="108" t="e">
        <f t="shared" si="48"/>
        <v>#N/A</v>
      </c>
      <c r="D253" s="114">
        <f t="shared" si="52"/>
        <v>0</v>
      </c>
      <c r="E253" s="114" t="e">
        <f aca="true" t="shared" si="61" ref="E253:E280">E252</f>
        <v>#N/A</v>
      </c>
      <c r="F253" s="108" t="e">
        <f t="shared" si="53"/>
        <v>#N/A</v>
      </c>
      <c r="G253" s="114">
        <f t="shared" si="54"/>
        <v>0</v>
      </c>
      <c r="H253" s="110">
        <v>253</v>
      </c>
      <c r="I253" s="115">
        <v>0.006</v>
      </c>
      <c r="J253" s="116">
        <v>0.0099</v>
      </c>
      <c r="K253" s="115">
        <v>0.001153</v>
      </c>
      <c r="L253" s="116">
        <v>0.004</v>
      </c>
      <c r="M253" s="117">
        <v>0.0099</v>
      </c>
      <c r="N253" s="118">
        <f>IF(A253&gt;Dados!$C$16,0,IF(A253=Dados!$C$16,1,SUMIF($A$3:$A$500,CONCATENATE("&gt;",TEXT(DATEVALUE(TEXT(A253,"dd/mm/aaaa")),0)),$M$3:$M$500)-SUMIF($A$3:$A$500,CONCATENATE("&gt;",TEXT(Dados!$C$16-1,0)),$M$3:$M$500)+1%))</f>
        <v>0</v>
      </c>
      <c r="O253" s="119">
        <v>0.005</v>
      </c>
      <c r="P253" s="120">
        <f t="shared" si="49"/>
        <v>0.245282</v>
      </c>
      <c r="Q253" s="119">
        <v>0.005</v>
      </c>
      <c r="R253" s="120">
        <f t="shared" si="50"/>
        <v>0.245282</v>
      </c>
      <c r="S253" s="119">
        <v>0.005</v>
      </c>
      <c r="T253" s="120">
        <f t="shared" si="51"/>
        <v>0.245282</v>
      </c>
      <c r="AG253" s="121">
        <f t="shared" si="55"/>
        <v>42125</v>
      </c>
      <c r="AH253" s="121">
        <f t="shared" si="56"/>
        <v>42125</v>
      </c>
      <c r="AI253" s="121">
        <f t="shared" si="57"/>
        <v>42125</v>
      </c>
      <c r="AJ253" s="121">
        <f t="shared" si="58"/>
        <v>42125</v>
      </c>
      <c r="AK253" s="121">
        <f t="shared" si="59"/>
        <v>42125</v>
      </c>
    </row>
    <row r="254" spans="1:37" ht="15">
      <c r="A254" s="113">
        <v>42156</v>
      </c>
      <c r="B254" s="113" t="e">
        <f t="shared" si="60"/>
        <v>#N/A</v>
      </c>
      <c r="C254" s="108" t="e">
        <f t="shared" si="48"/>
        <v>#N/A</v>
      </c>
      <c r="D254" s="114">
        <f t="shared" si="52"/>
        <v>0</v>
      </c>
      <c r="E254" s="114" t="e">
        <f t="shared" si="61"/>
        <v>#N/A</v>
      </c>
      <c r="F254" s="108" t="e">
        <f t="shared" si="53"/>
        <v>#N/A</v>
      </c>
      <c r="G254" s="114">
        <f t="shared" si="54"/>
        <v>0</v>
      </c>
      <c r="H254" s="110">
        <v>254</v>
      </c>
      <c r="I254" s="115">
        <v>0.0099</v>
      </c>
      <c r="J254" s="116">
        <v>0.0077</v>
      </c>
      <c r="K254" s="115">
        <v>0.001813</v>
      </c>
      <c r="L254" s="116">
        <v>0.0068</v>
      </c>
      <c r="M254" s="117">
        <v>0.0107</v>
      </c>
      <c r="N254" s="118">
        <f>IF(A254&gt;Dados!$C$16,0,IF(A254=Dados!$C$16,1,SUMIF($A$3:$A$500,CONCATENATE("&gt;",TEXT(DATEVALUE(TEXT(A254,"dd/mm/aaaa")),0)),$M$3:$M$500)-SUMIF($A$3:$A$500,CONCATENATE("&gt;",TEXT(Dados!$C$16-1,0)),$M$3:$M$500)+1%))</f>
        <v>0</v>
      </c>
      <c r="O254" s="119">
        <v>0.005</v>
      </c>
      <c r="P254" s="120">
        <f t="shared" si="49"/>
        <v>0.240282</v>
      </c>
      <c r="Q254" s="119">
        <v>0.005</v>
      </c>
      <c r="R254" s="120">
        <f t="shared" si="50"/>
        <v>0.240282</v>
      </c>
      <c r="S254" s="119">
        <v>0.005</v>
      </c>
      <c r="T254" s="120">
        <f t="shared" si="51"/>
        <v>0.240282</v>
      </c>
      <c r="AG254" s="121">
        <f t="shared" si="55"/>
        <v>42156</v>
      </c>
      <c r="AH254" s="121">
        <f t="shared" si="56"/>
        <v>42156</v>
      </c>
      <c r="AI254" s="121">
        <f t="shared" si="57"/>
        <v>42156</v>
      </c>
      <c r="AJ254" s="121">
        <f t="shared" si="58"/>
        <v>42156</v>
      </c>
      <c r="AK254" s="121">
        <f t="shared" si="59"/>
        <v>42156</v>
      </c>
    </row>
    <row r="255" spans="1:37" ht="15">
      <c r="A255" s="113">
        <v>42186</v>
      </c>
      <c r="B255" s="113" t="e">
        <f t="shared" si="60"/>
        <v>#N/A</v>
      </c>
      <c r="C255" s="108" t="e">
        <f t="shared" si="48"/>
        <v>#N/A</v>
      </c>
      <c r="D255" s="114">
        <f t="shared" si="52"/>
        <v>0</v>
      </c>
      <c r="E255" s="114" t="e">
        <f t="shared" si="61"/>
        <v>#N/A</v>
      </c>
      <c r="F255" s="108" t="e">
        <f t="shared" si="53"/>
        <v>#N/A</v>
      </c>
      <c r="G255" s="114">
        <f t="shared" si="54"/>
        <v>0</v>
      </c>
      <c r="H255" s="110">
        <v>255</v>
      </c>
      <c r="I255" s="115">
        <v>0.0059</v>
      </c>
      <c r="J255" s="116">
        <v>0.0058</v>
      </c>
      <c r="K255" s="115">
        <v>0.002305</v>
      </c>
      <c r="L255" s="116">
        <v>0.0058</v>
      </c>
      <c r="M255" s="117">
        <v>0.0118</v>
      </c>
      <c r="N255" s="118">
        <f>IF(A255&gt;Dados!$C$16,0,IF(A255=Dados!$C$16,1,SUMIF($A$3:$A$500,CONCATENATE("&gt;",TEXT(DATEVALUE(TEXT(A255,"dd/mm/aaaa")),0)),$M$3:$M$500)-SUMIF($A$3:$A$500,CONCATENATE("&gt;",TEXT(Dados!$C$16-1,0)),$M$3:$M$500)+1%))</f>
        <v>0</v>
      </c>
      <c r="O255" s="119">
        <v>0.005</v>
      </c>
      <c r="P255" s="120">
        <f t="shared" si="49"/>
        <v>0.235282</v>
      </c>
      <c r="Q255" s="119">
        <v>0.005</v>
      </c>
      <c r="R255" s="120">
        <f t="shared" si="50"/>
        <v>0.235282</v>
      </c>
      <c r="S255" s="119">
        <v>0.005</v>
      </c>
      <c r="T255" s="120">
        <f t="shared" si="51"/>
        <v>0.235282</v>
      </c>
      <c r="AG255" s="121">
        <f t="shared" si="55"/>
        <v>42186</v>
      </c>
      <c r="AH255" s="121">
        <f t="shared" si="56"/>
        <v>42186</v>
      </c>
      <c r="AI255" s="121">
        <f t="shared" si="57"/>
        <v>42186</v>
      </c>
      <c r="AJ255" s="121">
        <f t="shared" si="58"/>
        <v>42186</v>
      </c>
      <c r="AK255" s="121">
        <f t="shared" si="59"/>
        <v>42186</v>
      </c>
    </row>
    <row r="256" spans="1:37" ht="15">
      <c r="A256" s="113">
        <v>42217</v>
      </c>
      <c r="B256" s="113" t="e">
        <f t="shared" si="60"/>
        <v>#N/A</v>
      </c>
      <c r="C256" s="108" t="e">
        <f t="shared" si="48"/>
        <v>#N/A</v>
      </c>
      <c r="D256" s="114">
        <f t="shared" si="52"/>
        <v>0</v>
      </c>
      <c r="E256" s="114" t="e">
        <f t="shared" si="61"/>
        <v>#N/A</v>
      </c>
      <c r="F256" s="108" t="e">
        <f t="shared" si="53"/>
        <v>#N/A</v>
      </c>
      <c r="G256" s="114">
        <f t="shared" si="54"/>
        <v>0</v>
      </c>
      <c r="H256" s="110">
        <v>256</v>
      </c>
      <c r="I256" s="115">
        <v>0.0043</v>
      </c>
      <c r="J256" s="116">
        <v>0.0025</v>
      </c>
      <c r="K256" s="115">
        <v>0.001867</v>
      </c>
      <c r="L256" s="116">
        <v>0.004</v>
      </c>
      <c r="M256" s="117">
        <v>0.0111</v>
      </c>
      <c r="N256" s="118">
        <f>IF(A256&gt;Dados!$C$16,0,IF(A256=Dados!$C$16,1,SUMIF($A$3:$A$500,CONCATENATE("&gt;",TEXT(DATEVALUE(TEXT(A256,"dd/mm/aaaa")),0)),$M$3:$M$500)-SUMIF($A$3:$A$500,CONCATENATE("&gt;",TEXT(Dados!$C$16-1,0)),$M$3:$M$500)+1%))</f>
        <v>0</v>
      </c>
      <c r="O256" s="119">
        <v>0.005</v>
      </c>
      <c r="P256" s="120">
        <f t="shared" si="49"/>
        <v>0.230282</v>
      </c>
      <c r="Q256" s="119">
        <v>0.005</v>
      </c>
      <c r="R256" s="120">
        <f t="shared" si="50"/>
        <v>0.230282</v>
      </c>
      <c r="S256" s="119">
        <v>0.005</v>
      </c>
      <c r="T256" s="120">
        <f t="shared" si="51"/>
        <v>0.230282</v>
      </c>
      <c r="AG256" s="121">
        <f t="shared" si="55"/>
        <v>42217</v>
      </c>
      <c r="AH256" s="121">
        <f t="shared" si="56"/>
        <v>42217</v>
      </c>
      <c r="AI256" s="121">
        <f t="shared" si="57"/>
        <v>42217</v>
      </c>
      <c r="AJ256" s="121">
        <f t="shared" si="58"/>
        <v>42217</v>
      </c>
      <c r="AK256" s="121">
        <f t="shared" si="59"/>
        <v>42217</v>
      </c>
    </row>
    <row r="257" spans="1:37" ht="15">
      <c r="A257" s="113">
        <v>42248</v>
      </c>
      <c r="B257" s="113" t="e">
        <f t="shared" si="60"/>
        <v>#N/A</v>
      </c>
      <c r="C257" s="108" t="e">
        <f t="shared" si="48"/>
        <v>#N/A</v>
      </c>
      <c r="D257" s="114">
        <f t="shared" si="52"/>
        <v>0</v>
      </c>
      <c r="E257" s="114" t="e">
        <f t="shared" si="61"/>
        <v>#N/A</v>
      </c>
      <c r="F257" s="108" t="e">
        <f t="shared" si="53"/>
        <v>#N/A</v>
      </c>
      <c r="G257" s="114">
        <f t="shared" si="54"/>
        <v>0</v>
      </c>
      <c r="H257" s="110">
        <v>257</v>
      </c>
      <c r="I257" s="115">
        <v>0.0039</v>
      </c>
      <c r="J257" s="116">
        <v>0.0051</v>
      </c>
      <c r="K257" s="115">
        <v>0.00192</v>
      </c>
      <c r="L257" s="116">
        <v>0.0142</v>
      </c>
      <c r="M257" s="117">
        <v>0.0111</v>
      </c>
      <c r="N257" s="118">
        <f>IF(A257&gt;Dados!$C$16,0,IF(A257=Dados!$C$16,1,SUMIF($A$3:$A$500,CONCATENATE("&gt;",TEXT(DATEVALUE(TEXT(A257,"dd/mm/aaaa")),0)),$M$3:$M$500)-SUMIF($A$3:$A$500,CONCATENATE("&gt;",TEXT(Dados!$C$16-1,0)),$M$3:$M$500)+1%))</f>
        <v>0</v>
      </c>
      <c r="O257" s="119">
        <v>0.005</v>
      </c>
      <c r="P257" s="120">
        <f t="shared" si="49"/>
        <v>0.225282</v>
      </c>
      <c r="Q257" s="119">
        <v>0.005</v>
      </c>
      <c r="R257" s="120">
        <f t="shared" si="50"/>
        <v>0.225282</v>
      </c>
      <c r="S257" s="119">
        <v>0.005</v>
      </c>
      <c r="T257" s="120">
        <f t="shared" si="51"/>
        <v>0.225282</v>
      </c>
      <c r="AG257" s="121">
        <f t="shared" si="55"/>
        <v>42248</v>
      </c>
      <c r="AH257" s="121">
        <f t="shared" si="56"/>
        <v>42248</v>
      </c>
      <c r="AI257" s="121">
        <f t="shared" si="57"/>
        <v>42248</v>
      </c>
      <c r="AJ257" s="121">
        <f t="shared" si="58"/>
        <v>42248</v>
      </c>
      <c r="AK257" s="121">
        <f t="shared" si="59"/>
        <v>42248</v>
      </c>
    </row>
    <row r="258" spans="1:37" ht="15">
      <c r="A258" s="113">
        <v>42278</v>
      </c>
      <c r="B258" s="113" t="e">
        <f t="shared" si="60"/>
        <v>#N/A</v>
      </c>
      <c r="C258" s="108" t="e">
        <f t="shared" si="48"/>
        <v>#N/A</v>
      </c>
      <c r="D258" s="114">
        <f t="shared" si="52"/>
        <v>0</v>
      </c>
      <c r="E258" s="114" t="e">
        <f t="shared" si="61"/>
        <v>#N/A</v>
      </c>
      <c r="F258" s="108" t="e">
        <f t="shared" si="53"/>
        <v>#N/A</v>
      </c>
      <c r="G258" s="114">
        <f t="shared" si="54"/>
        <v>0</v>
      </c>
      <c r="H258" s="110">
        <v>258</v>
      </c>
      <c r="I258" s="115">
        <v>0.0066</v>
      </c>
      <c r="J258" s="116">
        <v>0.0077</v>
      </c>
      <c r="K258" s="115">
        <v>0.00179</v>
      </c>
      <c r="L258" s="116">
        <v>0.0176</v>
      </c>
      <c r="M258" s="117">
        <v>0.0111</v>
      </c>
      <c r="N258" s="118">
        <f>IF(A258&gt;Dados!$C$16,0,IF(A258=Dados!$C$16,1,SUMIF($A$3:$A$500,CONCATENATE("&gt;",TEXT(DATEVALUE(TEXT(A258,"dd/mm/aaaa")),0)),$M$3:$M$500)-SUMIF($A$3:$A$500,CONCATENATE("&gt;",TEXT(Dados!$C$16-1,0)),$M$3:$M$500)+1%))</f>
        <v>0</v>
      </c>
      <c r="O258" s="119">
        <v>0.005</v>
      </c>
      <c r="P258" s="120">
        <f t="shared" si="49"/>
        <v>0.220282</v>
      </c>
      <c r="Q258" s="119">
        <v>0.005</v>
      </c>
      <c r="R258" s="120">
        <f t="shared" si="50"/>
        <v>0.220282</v>
      </c>
      <c r="S258" s="119">
        <v>0.005</v>
      </c>
      <c r="T258" s="120">
        <f t="shared" si="51"/>
        <v>0.220282</v>
      </c>
      <c r="AG258" s="121">
        <f t="shared" si="55"/>
        <v>42278</v>
      </c>
      <c r="AH258" s="121">
        <f t="shared" si="56"/>
        <v>42278</v>
      </c>
      <c r="AI258" s="121">
        <f t="shared" si="57"/>
        <v>42278</v>
      </c>
      <c r="AJ258" s="121">
        <f t="shared" si="58"/>
        <v>42278</v>
      </c>
      <c r="AK258" s="121">
        <f t="shared" si="59"/>
        <v>42278</v>
      </c>
    </row>
    <row r="259" spans="1:37" ht="15">
      <c r="A259" s="113">
        <v>42309</v>
      </c>
      <c r="B259" s="113" t="e">
        <f t="shared" si="60"/>
        <v>#N/A</v>
      </c>
      <c r="C259" s="108" t="e">
        <f aca="true" t="shared" si="62" ref="C259:C322">IF(B259="IPCA-E",I259,IF(B259="INPC",J259,IF(B259="TR",K259,IF(B259="IGP-DI",L259,0))))</f>
        <v>#N/A</v>
      </c>
      <c r="D259" s="114">
        <f t="shared" si="52"/>
        <v>0</v>
      </c>
      <c r="E259" s="114" t="e">
        <f t="shared" si="61"/>
        <v>#N/A</v>
      </c>
      <c r="F259" s="108" t="e">
        <f t="shared" si="53"/>
        <v>#N/A</v>
      </c>
      <c r="G259" s="114">
        <f t="shared" si="54"/>
        <v>0</v>
      </c>
      <c r="H259" s="110">
        <v>259</v>
      </c>
      <c r="I259" s="115">
        <v>0.0085</v>
      </c>
      <c r="J259" s="116">
        <v>0.0111</v>
      </c>
      <c r="K259" s="115">
        <v>0.001297</v>
      </c>
      <c r="L259" s="116">
        <v>0.0119</v>
      </c>
      <c r="M259" s="117">
        <v>0.0106</v>
      </c>
      <c r="N259" s="118">
        <f>IF(A259&gt;Dados!$C$16,0,IF(A259=Dados!$C$16,1,SUMIF($A$3:$A$500,CONCATENATE("&gt;",TEXT(DATEVALUE(TEXT(A259,"dd/mm/aaaa")),0)),$M$3:$M$500)-SUMIF($A$3:$A$500,CONCATENATE("&gt;",TEXT(Dados!$C$16-1,0)),$M$3:$M$500)+1%))</f>
        <v>0</v>
      </c>
      <c r="O259" s="119">
        <v>0.005</v>
      </c>
      <c r="P259" s="120">
        <f aca="true" t="shared" si="63" ref="P259:P322">O260+P260</f>
        <v>0.215282</v>
      </c>
      <c r="Q259" s="119">
        <v>0.005</v>
      </c>
      <c r="R259" s="120">
        <f aca="true" t="shared" si="64" ref="R259:R322">Q260+R260</f>
        <v>0.215282</v>
      </c>
      <c r="S259" s="119">
        <v>0.005</v>
      </c>
      <c r="T259" s="120">
        <f aca="true" t="shared" si="65" ref="T259:T322">S260+T260</f>
        <v>0.215282</v>
      </c>
      <c r="AG259" s="121">
        <f t="shared" si="55"/>
        <v>42309</v>
      </c>
      <c r="AH259" s="121">
        <f t="shared" si="56"/>
        <v>42309</v>
      </c>
      <c r="AI259" s="121">
        <f t="shared" si="57"/>
        <v>42309</v>
      </c>
      <c r="AJ259" s="121">
        <f t="shared" si="58"/>
        <v>42309</v>
      </c>
      <c r="AK259" s="121">
        <f t="shared" si="59"/>
        <v>42309</v>
      </c>
    </row>
    <row r="260" spans="1:37" ht="15">
      <c r="A260" s="113">
        <v>42339</v>
      </c>
      <c r="B260" s="113" t="e">
        <f t="shared" si="60"/>
        <v>#N/A</v>
      </c>
      <c r="C260" s="108" t="e">
        <f t="shared" si="62"/>
        <v>#N/A</v>
      </c>
      <c r="D260" s="114">
        <f aca="true" t="shared" si="66" ref="D260:D323">IF(A260&gt;$D$2,0,IF(A260=$D$2,1,D261*(1+C260)))</f>
        <v>0</v>
      </c>
      <c r="E260" s="114" t="e">
        <f t="shared" si="61"/>
        <v>#N/A</v>
      </c>
      <c r="F260" s="108" t="e">
        <f aca="true" t="shared" si="67" ref="F260:F323">IF(E260="IPCA-E",I260,IF(E260="INPC",J260,IF(E260="TR",K260,IF(E260="IGP-DI",L260,IF(E260="SELIC",M260,N260)))))</f>
        <v>#N/A</v>
      </c>
      <c r="G260" s="114">
        <f aca="true" t="shared" si="68" ref="G260:G323">IF(A260&gt;$G$2,0,IF(A260=$G$2,1,G261*(1+F260)))</f>
        <v>0</v>
      </c>
      <c r="H260" s="110">
        <v>260</v>
      </c>
      <c r="I260" s="115">
        <v>0.0118</v>
      </c>
      <c r="J260" s="116">
        <v>0.009</v>
      </c>
      <c r="K260" s="115">
        <v>0.00225</v>
      </c>
      <c r="L260" s="116">
        <v>0.0044</v>
      </c>
      <c r="M260" s="117">
        <v>0.0116</v>
      </c>
      <c r="N260" s="118">
        <f>IF(A260&gt;Dados!$C$16,0,IF(A260=Dados!$C$16,1,SUMIF($A$3:$A$500,CONCATENATE("&gt;",TEXT(DATEVALUE(TEXT(A260,"dd/mm/aaaa")),0)),$M$3:$M$500)-SUMIF($A$3:$A$500,CONCATENATE("&gt;",TEXT(Dados!$C$16-1,0)),$M$3:$M$500)+1%))</f>
        <v>0</v>
      </c>
      <c r="O260" s="119">
        <v>0.005</v>
      </c>
      <c r="P260" s="120">
        <f t="shared" si="63"/>
        <v>0.210282</v>
      </c>
      <c r="Q260" s="119">
        <v>0.005</v>
      </c>
      <c r="R260" s="120">
        <f t="shared" si="64"/>
        <v>0.210282</v>
      </c>
      <c r="S260" s="119">
        <v>0.005</v>
      </c>
      <c r="T260" s="120">
        <f t="shared" si="65"/>
        <v>0.210282</v>
      </c>
      <c r="AG260" s="121">
        <f aca="true" t="shared" si="69" ref="AG260:AG323">IF(OR(L260&lt;&gt;0,AD260=1),$A260,"")</f>
        <v>42339</v>
      </c>
      <c r="AH260" s="121">
        <f aca="true" t="shared" si="70" ref="AH260:AH323">IF(OR(J260&lt;&gt;0,AB260=1),$A260,"")</f>
        <v>42339</v>
      </c>
      <c r="AI260" s="121">
        <f aca="true" t="shared" si="71" ref="AI260:AI323">IF(OR(I260&lt;&gt;0,AA260=1),$A260,"")</f>
        <v>42339</v>
      </c>
      <c r="AJ260" s="121">
        <f aca="true" t="shared" si="72" ref="AJ260:AJ323">IF(OR(M260&lt;&gt;0,AE260=1),$A260,"")</f>
        <v>42339</v>
      </c>
      <c r="AK260" s="121">
        <f aca="true" t="shared" si="73" ref="AK260:AK323">IF(OR(K260&lt;&gt;0,AC260=1),$A260,"")</f>
        <v>42339</v>
      </c>
    </row>
    <row r="261" spans="1:37" ht="15">
      <c r="A261" s="113">
        <v>42370</v>
      </c>
      <c r="B261" s="113" t="e">
        <f t="shared" si="60"/>
        <v>#N/A</v>
      </c>
      <c r="C261" s="108" t="e">
        <f t="shared" si="62"/>
        <v>#N/A</v>
      </c>
      <c r="D261" s="114">
        <f t="shared" si="66"/>
        <v>0</v>
      </c>
      <c r="E261" s="114" t="e">
        <f t="shared" si="61"/>
        <v>#N/A</v>
      </c>
      <c r="F261" s="108" t="e">
        <f t="shared" si="67"/>
        <v>#N/A</v>
      </c>
      <c r="G261" s="114">
        <f t="shared" si="68"/>
        <v>0</v>
      </c>
      <c r="H261" s="110">
        <v>261</v>
      </c>
      <c r="I261" s="115">
        <v>0.0092</v>
      </c>
      <c r="J261" s="116">
        <v>0.0151</v>
      </c>
      <c r="K261" s="115">
        <v>0.00132</v>
      </c>
      <c r="L261" s="116">
        <v>0.0153</v>
      </c>
      <c r="M261" s="117">
        <v>0.0106</v>
      </c>
      <c r="N261" s="118">
        <f>IF(A261&gt;Dados!$C$16,0,IF(A261=Dados!$C$16,1,SUMIF($A$3:$A$500,CONCATENATE("&gt;",TEXT(DATEVALUE(TEXT(A261,"dd/mm/aaaa")),0)),$M$3:$M$500)-SUMIF($A$3:$A$500,CONCATENATE("&gt;",TEXT(Dados!$C$16-1,0)),$M$3:$M$500)+1%))</f>
        <v>0</v>
      </c>
      <c r="O261" s="119">
        <v>0.005</v>
      </c>
      <c r="P261" s="120">
        <f t="shared" si="63"/>
        <v>0.205282</v>
      </c>
      <c r="Q261" s="119">
        <v>0.005</v>
      </c>
      <c r="R261" s="120">
        <f t="shared" si="64"/>
        <v>0.205282</v>
      </c>
      <c r="S261" s="119">
        <v>0.005</v>
      </c>
      <c r="T261" s="120">
        <f t="shared" si="65"/>
        <v>0.205282</v>
      </c>
      <c r="AG261" s="121">
        <f t="shared" si="69"/>
        <v>42370</v>
      </c>
      <c r="AH261" s="121">
        <f t="shared" si="70"/>
        <v>42370</v>
      </c>
      <c r="AI261" s="121">
        <f t="shared" si="71"/>
        <v>42370</v>
      </c>
      <c r="AJ261" s="121">
        <f t="shared" si="72"/>
        <v>42370</v>
      </c>
      <c r="AK261" s="121">
        <f t="shared" si="73"/>
        <v>42370</v>
      </c>
    </row>
    <row r="262" spans="1:37" ht="15">
      <c r="A262" s="113">
        <v>42401</v>
      </c>
      <c r="B262" s="113" t="e">
        <f t="shared" si="60"/>
        <v>#N/A</v>
      </c>
      <c r="C262" s="108" t="e">
        <f t="shared" si="62"/>
        <v>#N/A</v>
      </c>
      <c r="D262" s="114">
        <f t="shared" si="66"/>
        <v>0</v>
      </c>
      <c r="E262" s="114" t="e">
        <f t="shared" si="61"/>
        <v>#N/A</v>
      </c>
      <c r="F262" s="108" t="e">
        <f t="shared" si="67"/>
        <v>#N/A</v>
      </c>
      <c r="G262" s="114">
        <f t="shared" si="68"/>
        <v>0</v>
      </c>
      <c r="H262" s="110">
        <v>262</v>
      </c>
      <c r="I262" s="115">
        <v>0.0142</v>
      </c>
      <c r="J262" s="116">
        <v>0.0095</v>
      </c>
      <c r="K262" s="115">
        <v>0.000957</v>
      </c>
      <c r="L262" s="116">
        <v>0.0079</v>
      </c>
      <c r="M262" s="117">
        <v>0.01</v>
      </c>
      <c r="N262" s="118">
        <f>IF(A262&gt;Dados!$C$16,0,IF(A262=Dados!$C$16,1,SUMIF($A$3:$A$500,CONCATENATE("&gt;",TEXT(DATEVALUE(TEXT(A262,"dd/mm/aaaa")),0)),$M$3:$M$500)-SUMIF($A$3:$A$500,CONCATENATE("&gt;",TEXT(Dados!$C$16-1,0)),$M$3:$M$500)+1%))</f>
        <v>0</v>
      </c>
      <c r="O262" s="119">
        <v>0.005</v>
      </c>
      <c r="P262" s="120">
        <f t="shared" si="63"/>
        <v>0.200282</v>
      </c>
      <c r="Q262" s="119">
        <v>0.005</v>
      </c>
      <c r="R262" s="120">
        <f t="shared" si="64"/>
        <v>0.200282</v>
      </c>
      <c r="S262" s="119">
        <v>0.005</v>
      </c>
      <c r="T262" s="120">
        <f t="shared" si="65"/>
        <v>0.200282</v>
      </c>
      <c r="AG262" s="121">
        <f t="shared" si="69"/>
        <v>42401</v>
      </c>
      <c r="AH262" s="121">
        <f t="shared" si="70"/>
        <v>42401</v>
      </c>
      <c r="AI262" s="121">
        <f t="shared" si="71"/>
        <v>42401</v>
      </c>
      <c r="AJ262" s="121">
        <f t="shared" si="72"/>
        <v>42401</v>
      </c>
      <c r="AK262" s="121">
        <f t="shared" si="73"/>
        <v>42401</v>
      </c>
    </row>
    <row r="263" spans="1:37" ht="15">
      <c r="A263" s="113">
        <v>42430</v>
      </c>
      <c r="B263" s="113" t="e">
        <f t="shared" si="60"/>
        <v>#N/A</v>
      </c>
      <c r="C263" s="108" t="e">
        <f t="shared" si="62"/>
        <v>#N/A</v>
      </c>
      <c r="D263" s="114">
        <f t="shared" si="66"/>
        <v>0</v>
      </c>
      <c r="E263" s="114" t="e">
        <f t="shared" si="61"/>
        <v>#N/A</v>
      </c>
      <c r="F263" s="108" t="e">
        <f t="shared" si="67"/>
        <v>#N/A</v>
      </c>
      <c r="G263" s="114">
        <f t="shared" si="68"/>
        <v>0</v>
      </c>
      <c r="H263" s="110">
        <v>263</v>
      </c>
      <c r="I263" s="115">
        <v>0.0043</v>
      </c>
      <c r="J263" s="116">
        <v>0.0044</v>
      </c>
      <c r="K263" s="115">
        <v>0.002168</v>
      </c>
      <c r="L263" s="116">
        <v>0.0043</v>
      </c>
      <c r="M263" s="117">
        <v>0.0116</v>
      </c>
      <c r="N263" s="118">
        <f>IF(A263&gt;Dados!$C$16,0,IF(A263=Dados!$C$16,1,SUMIF($A$3:$A$500,CONCATENATE("&gt;",TEXT(DATEVALUE(TEXT(A263,"dd/mm/aaaa")),0)),$M$3:$M$500)-SUMIF($A$3:$A$500,CONCATENATE("&gt;",TEXT(Dados!$C$16-1,0)),$M$3:$M$500)+1%))</f>
        <v>0</v>
      </c>
      <c r="O263" s="119">
        <v>0.005</v>
      </c>
      <c r="P263" s="120">
        <f t="shared" si="63"/>
        <v>0.195282</v>
      </c>
      <c r="Q263" s="119">
        <v>0.005</v>
      </c>
      <c r="R263" s="120">
        <f t="shared" si="64"/>
        <v>0.195282</v>
      </c>
      <c r="S263" s="119">
        <v>0.005</v>
      </c>
      <c r="T263" s="120">
        <f t="shared" si="65"/>
        <v>0.195282</v>
      </c>
      <c r="AG263" s="121">
        <f t="shared" si="69"/>
        <v>42430</v>
      </c>
      <c r="AH263" s="121">
        <f t="shared" si="70"/>
        <v>42430</v>
      </c>
      <c r="AI263" s="121">
        <f t="shared" si="71"/>
        <v>42430</v>
      </c>
      <c r="AJ263" s="121">
        <f t="shared" si="72"/>
        <v>42430</v>
      </c>
      <c r="AK263" s="121">
        <f t="shared" si="73"/>
        <v>42430</v>
      </c>
    </row>
    <row r="264" spans="1:37" ht="15">
      <c r="A264" s="113">
        <v>42461</v>
      </c>
      <c r="B264" s="113" t="e">
        <f t="shared" si="60"/>
        <v>#N/A</v>
      </c>
      <c r="C264" s="108" t="e">
        <f t="shared" si="62"/>
        <v>#N/A</v>
      </c>
      <c r="D264" s="114">
        <f t="shared" si="66"/>
        <v>0</v>
      </c>
      <c r="E264" s="114" t="e">
        <f t="shared" si="61"/>
        <v>#N/A</v>
      </c>
      <c r="F264" s="108" t="e">
        <f t="shared" si="67"/>
        <v>#N/A</v>
      </c>
      <c r="G264" s="114">
        <f t="shared" si="68"/>
        <v>0</v>
      </c>
      <c r="H264" s="110">
        <v>264</v>
      </c>
      <c r="I264" s="115">
        <v>0.0051</v>
      </c>
      <c r="J264" s="116">
        <v>0.0064</v>
      </c>
      <c r="K264" s="115">
        <v>0.001304</v>
      </c>
      <c r="L264" s="116">
        <v>0.0036</v>
      </c>
      <c r="M264" s="117">
        <v>0.0106</v>
      </c>
      <c r="N264" s="118">
        <f>IF(A264&gt;Dados!$C$16,0,IF(A264=Dados!$C$16,1,SUMIF($A$3:$A$500,CONCATENATE("&gt;",TEXT(DATEVALUE(TEXT(A264,"dd/mm/aaaa")),0)),$M$3:$M$500)-SUMIF($A$3:$A$500,CONCATENATE("&gt;",TEXT(Dados!$C$16-1,0)),$M$3:$M$500)+1%))</f>
        <v>0</v>
      </c>
      <c r="O264" s="119">
        <v>0.005</v>
      </c>
      <c r="P264" s="120">
        <f t="shared" si="63"/>
        <v>0.190282</v>
      </c>
      <c r="Q264" s="119">
        <v>0.005</v>
      </c>
      <c r="R264" s="120">
        <f t="shared" si="64"/>
        <v>0.190282</v>
      </c>
      <c r="S264" s="119">
        <v>0.005</v>
      </c>
      <c r="T264" s="120">
        <f t="shared" si="65"/>
        <v>0.190282</v>
      </c>
      <c r="AG264" s="121">
        <f t="shared" si="69"/>
        <v>42461</v>
      </c>
      <c r="AH264" s="121">
        <f t="shared" si="70"/>
        <v>42461</v>
      </c>
      <c r="AI264" s="121">
        <f t="shared" si="71"/>
        <v>42461</v>
      </c>
      <c r="AJ264" s="121">
        <f t="shared" si="72"/>
        <v>42461</v>
      </c>
      <c r="AK264" s="121">
        <f t="shared" si="73"/>
        <v>42461</v>
      </c>
    </row>
    <row r="265" spans="1:37" ht="15">
      <c r="A265" s="113">
        <v>42491</v>
      </c>
      <c r="B265" s="113" t="e">
        <f t="shared" si="60"/>
        <v>#N/A</v>
      </c>
      <c r="C265" s="108" t="e">
        <f t="shared" si="62"/>
        <v>#N/A</v>
      </c>
      <c r="D265" s="114">
        <f t="shared" si="66"/>
        <v>0</v>
      </c>
      <c r="E265" s="114" t="e">
        <f t="shared" si="61"/>
        <v>#N/A</v>
      </c>
      <c r="F265" s="108" t="e">
        <f t="shared" si="67"/>
        <v>#N/A</v>
      </c>
      <c r="G265" s="114">
        <f t="shared" si="68"/>
        <v>0</v>
      </c>
      <c r="H265" s="110">
        <v>265</v>
      </c>
      <c r="I265" s="115">
        <v>0.0086</v>
      </c>
      <c r="J265" s="116">
        <v>0.0098</v>
      </c>
      <c r="K265" s="115">
        <v>0.001533</v>
      </c>
      <c r="L265" s="116">
        <v>0.0113</v>
      </c>
      <c r="M265" s="117">
        <v>0.0111</v>
      </c>
      <c r="N265" s="118">
        <f>IF(A265&gt;Dados!$C$16,0,IF(A265=Dados!$C$16,1,SUMIF($A$3:$A$500,CONCATENATE("&gt;",TEXT(DATEVALUE(TEXT(A265,"dd/mm/aaaa")),0)),$M$3:$M$500)-SUMIF($A$3:$A$500,CONCATENATE("&gt;",TEXT(Dados!$C$16-1,0)),$M$3:$M$500)+1%))</f>
        <v>0</v>
      </c>
      <c r="O265" s="119">
        <v>0.005</v>
      </c>
      <c r="P265" s="120">
        <f t="shared" si="63"/>
        <v>0.185282</v>
      </c>
      <c r="Q265" s="119">
        <v>0.005</v>
      </c>
      <c r="R265" s="120">
        <f t="shared" si="64"/>
        <v>0.185282</v>
      </c>
      <c r="S265" s="119">
        <v>0.005</v>
      </c>
      <c r="T265" s="120">
        <f t="shared" si="65"/>
        <v>0.185282</v>
      </c>
      <c r="AG265" s="121">
        <f t="shared" si="69"/>
        <v>42491</v>
      </c>
      <c r="AH265" s="121">
        <f t="shared" si="70"/>
        <v>42491</v>
      </c>
      <c r="AI265" s="121">
        <f t="shared" si="71"/>
        <v>42491</v>
      </c>
      <c r="AJ265" s="121">
        <f t="shared" si="72"/>
        <v>42491</v>
      </c>
      <c r="AK265" s="121">
        <f t="shared" si="73"/>
        <v>42491</v>
      </c>
    </row>
    <row r="266" spans="1:37" ht="15">
      <c r="A266" s="113">
        <v>42522</v>
      </c>
      <c r="B266" s="113" t="e">
        <f t="shared" si="60"/>
        <v>#N/A</v>
      </c>
      <c r="C266" s="108" t="e">
        <f t="shared" si="62"/>
        <v>#N/A</v>
      </c>
      <c r="D266" s="114">
        <f t="shared" si="66"/>
        <v>0</v>
      </c>
      <c r="E266" s="114" t="e">
        <f t="shared" si="61"/>
        <v>#N/A</v>
      </c>
      <c r="F266" s="108" t="e">
        <f t="shared" si="67"/>
        <v>#N/A</v>
      </c>
      <c r="G266" s="114">
        <f t="shared" si="68"/>
        <v>0</v>
      </c>
      <c r="H266" s="110">
        <v>266</v>
      </c>
      <c r="I266" s="115">
        <v>0.004</v>
      </c>
      <c r="J266" s="116">
        <v>0.0047</v>
      </c>
      <c r="K266" s="115">
        <v>0.002043</v>
      </c>
      <c r="L266" s="116">
        <v>0.0163</v>
      </c>
      <c r="M266" s="117">
        <v>0.0116</v>
      </c>
      <c r="N266" s="118">
        <f>IF(A266&gt;Dados!$C$16,0,IF(A266=Dados!$C$16,1,SUMIF($A$3:$A$500,CONCATENATE("&gt;",TEXT(DATEVALUE(TEXT(A266,"dd/mm/aaaa")),0)),$M$3:$M$500)-SUMIF($A$3:$A$500,CONCATENATE("&gt;",TEXT(Dados!$C$16-1,0)),$M$3:$M$500)+1%))</f>
        <v>0</v>
      </c>
      <c r="O266" s="119">
        <v>0.005</v>
      </c>
      <c r="P266" s="120">
        <f t="shared" si="63"/>
        <v>0.180282</v>
      </c>
      <c r="Q266" s="119">
        <v>0.005</v>
      </c>
      <c r="R266" s="120">
        <f t="shared" si="64"/>
        <v>0.180282</v>
      </c>
      <c r="S266" s="119">
        <v>0.005</v>
      </c>
      <c r="T266" s="120">
        <f t="shared" si="65"/>
        <v>0.180282</v>
      </c>
      <c r="AG266" s="121">
        <f t="shared" si="69"/>
        <v>42522</v>
      </c>
      <c r="AH266" s="121">
        <f t="shared" si="70"/>
        <v>42522</v>
      </c>
      <c r="AI266" s="121">
        <f t="shared" si="71"/>
        <v>42522</v>
      </c>
      <c r="AJ266" s="121">
        <f t="shared" si="72"/>
        <v>42522</v>
      </c>
      <c r="AK266" s="121">
        <f t="shared" si="73"/>
        <v>42522</v>
      </c>
    </row>
    <row r="267" spans="1:37" ht="15">
      <c r="A267" s="113">
        <v>42552</v>
      </c>
      <c r="B267" s="113" t="e">
        <f t="shared" si="60"/>
        <v>#N/A</v>
      </c>
      <c r="C267" s="108" t="e">
        <f t="shared" si="62"/>
        <v>#N/A</v>
      </c>
      <c r="D267" s="114">
        <f t="shared" si="66"/>
        <v>0</v>
      </c>
      <c r="E267" s="114" t="e">
        <f t="shared" si="61"/>
        <v>#N/A</v>
      </c>
      <c r="F267" s="108" t="e">
        <f t="shared" si="67"/>
        <v>#N/A</v>
      </c>
      <c r="G267" s="114">
        <f t="shared" si="68"/>
        <v>0</v>
      </c>
      <c r="H267" s="110">
        <v>267</v>
      </c>
      <c r="I267" s="115">
        <v>0.0054</v>
      </c>
      <c r="J267" s="116">
        <v>0.0064</v>
      </c>
      <c r="K267" s="115">
        <v>0.001621</v>
      </c>
      <c r="L267" s="116">
        <v>-0.0039</v>
      </c>
      <c r="M267" s="117">
        <v>0.0111</v>
      </c>
      <c r="N267" s="118">
        <f>IF(A267&gt;Dados!$C$16,0,IF(A267=Dados!$C$16,1,SUMIF($A$3:$A$500,CONCATENATE("&gt;",TEXT(DATEVALUE(TEXT(A267,"dd/mm/aaaa")),0)),$M$3:$M$500)-SUMIF($A$3:$A$500,CONCATENATE("&gt;",TEXT(Dados!$C$16-1,0)),$M$3:$M$500)+1%))</f>
        <v>0</v>
      </c>
      <c r="O267" s="119">
        <v>0.005</v>
      </c>
      <c r="P267" s="120">
        <f t="shared" si="63"/>
        <v>0.175282</v>
      </c>
      <c r="Q267" s="119">
        <v>0.005</v>
      </c>
      <c r="R267" s="120">
        <f t="shared" si="64"/>
        <v>0.175282</v>
      </c>
      <c r="S267" s="119">
        <v>0.005</v>
      </c>
      <c r="T267" s="120">
        <f t="shared" si="65"/>
        <v>0.175282</v>
      </c>
      <c r="AG267" s="121">
        <f t="shared" si="69"/>
        <v>42552</v>
      </c>
      <c r="AH267" s="121">
        <f t="shared" si="70"/>
        <v>42552</v>
      </c>
      <c r="AI267" s="121">
        <f t="shared" si="71"/>
        <v>42552</v>
      </c>
      <c r="AJ267" s="121">
        <f t="shared" si="72"/>
        <v>42552</v>
      </c>
      <c r="AK267" s="121">
        <f t="shared" si="73"/>
        <v>42552</v>
      </c>
    </row>
    <row r="268" spans="1:37" ht="15">
      <c r="A268" s="113">
        <v>42583</v>
      </c>
      <c r="B268" s="113" t="e">
        <f t="shared" si="60"/>
        <v>#N/A</v>
      </c>
      <c r="C268" s="108" t="e">
        <f t="shared" si="62"/>
        <v>#N/A</v>
      </c>
      <c r="D268" s="114">
        <f t="shared" si="66"/>
        <v>0</v>
      </c>
      <c r="E268" s="114" t="e">
        <f t="shared" si="61"/>
        <v>#N/A</v>
      </c>
      <c r="F268" s="108" t="e">
        <f t="shared" si="67"/>
        <v>#N/A</v>
      </c>
      <c r="G268" s="114">
        <f t="shared" si="68"/>
        <v>0</v>
      </c>
      <c r="H268" s="110">
        <v>268</v>
      </c>
      <c r="I268" s="115">
        <v>0.0045</v>
      </c>
      <c r="J268" s="116">
        <v>0.0031</v>
      </c>
      <c r="K268" s="115">
        <v>0.002545</v>
      </c>
      <c r="L268" s="116">
        <v>0.0043</v>
      </c>
      <c r="M268" s="117">
        <v>0.0122</v>
      </c>
      <c r="N268" s="118">
        <f>IF(A268&gt;Dados!$C$16,0,IF(A268=Dados!$C$16,1,SUMIF($A$3:$A$500,CONCATENATE("&gt;",TEXT(DATEVALUE(TEXT(A268,"dd/mm/aaaa")),0)),$M$3:$M$500)-SUMIF($A$3:$A$500,CONCATENATE("&gt;",TEXT(Dados!$C$16-1,0)),$M$3:$M$500)+1%))</f>
        <v>0</v>
      </c>
      <c r="O268" s="119">
        <v>0.005</v>
      </c>
      <c r="P268" s="120">
        <f t="shared" si="63"/>
        <v>0.170282</v>
      </c>
      <c r="Q268" s="119">
        <v>0.005</v>
      </c>
      <c r="R268" s="120">
        <f t="shared" si="64"/>
        <v>0.170282</v>
      </c>
      <c r="S268" s="119">
        <v>0.005</v>
      </c>
      <c r="T268" s="120">
        <f t="shared" si="65"/>
        <v>0.170282</v>
      </c>
      <c r="AG268" s="121">
        <f t="shared" si="69"/>
        <v>42583</v>
      </c>
      <c r="AH268" s="121">
        <f t="shared" si="70"/>
        <v>42583</v>
      </c>
      <c r="AI268" s="121">
        <f t="shared" si="71"/>
        <v>42583</v>
      </c>
      <c r="AJ268" s="121">
        <f t="shared" si="72"/>
        <v>42583</v>
      </c>
      <c r="AK268" s="121">
        <f t="shared" si="73"/>
        <v>42583</v>
      </c>
    </row>
    <row r="269" spans="1:37" ht="15">
      <c r="A269" s="113">
        <v>42614</v>
      </c>
      <c r="B269" s="113" t="e">
        <f t="shared" si="60"/>
        <v>#N/A</v>
      </c>
      <c r="C269" s="108" t="e">
        <f t="shared" si="62"/>
        <v>#N/A</v>
      </c>
      <c r="D269" s="114">
        <f t="shared" si="66"/>
        <v>0</v>
      </c>
      <c r="E269" s="114" t="e">
        <f t="shared" si="61"/>
        <v>#N/A</v>
      </c>
      <c r="F269" s="108" t="e">
        <f t="shared" si="67"/>
        <v>#N/A</v>
      </c>
      <c r="G269" s="114">
        <f t="shared" si="68"/>
        <v>0</v>
      </c>
      <c r="H269" s="110">
        <v>269</v>
      </c>
      <c r="I269" s="115">
        <v>0.0023</v>
      </c>
      <c r="J269" s="116">
        <v>0.0008</v>
      </c>
      <c r="K269" s="115">
        <v>0.001575</v>
      </c>
      <c r="L269" s="116">
        <v>0.0003</v>
      </c>
      <c r="M269" s="117">
        <v>0.0111</v>
      </c>
      <c r="N269" s="118">
        <f>IF(A269&gt;Dados!$C$16,0,IF(A269=Dados!$C$16,1,SUMIF($A$3:$A$500,CONCATENATE("&gt;",TEXT(DATEVALUE(TEXT(A269,"dd/mm/aaaa")),0)),$M$3:$M$500)-SUMIF($A$3:$A$500,CONCATENATE("&gt;",TEXT(Dados!$C$16-1,0)),$M$3:$M$500)+1%))</f>
        <v>0</v>
      </c>
      <c r="O269" s="119">
        <v>0.005</v>
      </c>
      <c r="P269" s="120">
        <f t="shared" si="63"/>
        <v>0.165282</v>
      </c>
      <c r="Q269" s="119">
        <v>0.005</v>
      </c>
      <c r="R269" s="120">
        <f t="shared" si="64"/>
        <v>0.165282</v>
      </c>
      <c r="S269" s="119">
        <v>0.005</v>
      </c>
      <c r="T269" s="120">
        <f t="shared" si="65"/>
        <v>0.165282</v>
      </c>
      <c r="AG269" s="121">
        <f t="shared" si="69"/>
        <v>42614</v>
      </c>
      <c r="AH269" s="121">
        <f t="shared" si="70"/>
        <v>42614</v>
      </c>
      <c r="AI269" s="121">
        <f t="shared" si="71"/>
        <v>42614</v>
      </c>
      <c r="AJ269" s="121">
        <f t="shared" si="72"/>
        <v>42614</v>
      </c>
      <c r="AK269" s="121">
        <f t="shared" si="73"/>
        <v>42614</v>
      </c>
    </row>
    <row r="270" spans="1:37" ht="15">
      <c r="A270" s="113">
        <v>42644</v>
      </c>
      <c r="B270" s="113" t="e">
        <f t="shared" si="60"/>
        <v>#N/A</v>
      </c>
      <c r="C270" s="108" t="e">
        <f t="shared" si="62"/>
        <v>#N/A</v>
      </c>
      <c r="D270" s="114">
        <f t="shared" si="66"/>
        <v>0</v>
      </c>
      <c r="E270" s="114" t="e">
        <f t="shared" si="61"/>
        <v>#N/A</v>
      </c>
      <c r="F270" s="108" t="e">
        <f t="shared" si="67"/>
        <v>#N/A</v>
      </c>
      <c r="G270" s="114">
        <f t="shared" si="68"/>
        <v>0</v>
      </c>
      <c r="H270" s="110">
        <v>270</v>
      </c>
      <c r="I270" s="115">
        <v>0.0019</v>
      </c>
      <c r="J270" s="116">
        <v>0.0017</v>
      </c>
      <c r="K270" s="115">
        <v>0.001601</v>
      </c>
      <c r="L270" s="116">
        <v>0.0013</v>
      </c>
      <c r="M270" s="117">
        <v>0.0105</v>
      </c>
      <c r="N270" s="118">
        <f>IF(A270&gt;Dados!$C$16,0,IF(A270=Dados!$C$16,1,SUMIF($A$3:$A$500,CONCATENATE("&gt;",TEXT(DATEVALUE(TEXT(A270,"dd/mm/aaaa")),0)),$M$3:$M$500)-SUMIF($A$3:$A$500,CONCATENATE("&gt;",TEXT(Dados!$C$16-1,0)),$M$3:$M$500)+1%))</f>
        <v>0</v>
      </c>
      <c r="O270" s="119">
        <v>0.005</v>
      </c>
      <c r="P270" s="120">
        <f t="shared" si="63"/>
        <v>0.160282</v>
      </c>
      <c r="Q270" s="119">
        <v>0.005</v>
      </c>
      <c r="R270" s="120">
        <f t="shared" si="64"/>
        <v>0.160282</v>
      </c>
      <c r="S270" s="119">
        <v>0.005</v>
      </c>
      <c r="T270" s="120">
        <f t="shared" si="65"/>
        <v>0.160282</v>
      </c>
      <c r="AG270" s="121">
        <f t="shared" si="69"/>
        <v>42644</v>
      </c>
      <c r="AH270" s="121">
        <f t="shared" si="70"/>
        <v>42644</v>
      </c>
      <c r="AI270" s="121">
        <f t="shared" si="71"/>
        <v>42644</v>
      </c>
      <c r="AJ270" s="121">
        <f t="shared" si="72"/>
        <v>42644</v>
      </c>
      <c r="AK270" s="121">
        <f t="shared" si="73"/>
        <v>42644</v>
      </c>
    </row>
    <row r="271" spans="1:37" ht="15">
      <c r="A271" s="113">
        <v>42675</v>
      </c>
      <c r="B271" s="113" t="e">
        <f t="shared" si="60"/>
        <v>#N/A</v>
      </c>
      <c r="C271" s="108" t="e">
        <f t="shared" si="62"/>
        <v>#N/A</v>
      </c>
      <c r="D271" s="114">
        <f t="shared" si="66"/>
        <v>0</v>
      </c>
      <c r="E271" s="114" t="e">
        <f t="shared" si="61"/>
        <v>#N/A</v>
      </c>
      <c r="F271" s="108" t="e">
        <f t="shared" si="67"/>
        <v>#N/A</v>
      </c>
      <c r="G271" s="114">
        <f t="shared" si="68"/>
        <v>0</v>
      </c>
      <c r="H271" s="110">
        <v>271</v>
      </c>
      <c r="I271" s="115">
        <v>0.0026</v>
      </c>
      <c r="J271" s="116">
        <v>0.0007</v>
      </c>
      <c r="K271" s="115">
        <v>0.001428</v>
      </c>
      <c r="L271" s="116">
        <v>0.0005</v>
      </c>
      <c r="M271" s="117">
        <v>0.0104</v>
      </c>
      <c r="N271" s="118">
        <f>IF(A271&gt;Dados!$C$16,0,IF(A271=Dados!$C$16,1,SUMIF($A$3:$A$500,CONCATENATE("&gt;",TEXT(DATEVALUE(TEXT(A271,"dd/mm/aaaa")),0)),$M$3:$M$500)-SUMIF($A$3:$A$500,CONCATENATE("&gt;",TEXT(Dados!$C$16-1,0)),$M$3:$M$500)+1%))</f>
        <v>0</v>
      </c>
      <c r="O271" s="119">
        <v>0.005</v>
      </c>
      <c r="P271" s="120">
        <f t="shared" si="63"/>
        <v>0.155282</v>
      </c>
      <c r="Q271" s="119">
        <v>0.005</v>
      </c>
      <c r="R271" s="120">
        <f t="shared" si="64"/>
        <v>0.155282</v>
      </c>
      <c r="S271" s="119">
        <v>0.005</v>
      </c>
      <c r="T271" s="120">
        <f t="shared" si="65"/>
        <v>0.155282</v>
      </c>
      <c r="AG271" s="121">
        <f t="shared" si="69"/>
        <v>42675</v>
      </c>
      <c r="AH271" s="121">
        <f t="shared" si="70"/>
        <v>42675</v>
      </c>
      <c r="AI271" s="121">
        <f t="shared" si="71"/>
        <v>42675</v>
      </c>
      <c r="AJ271" s="121">
        <f t="shared" si="72"/>
        <v>42675</v>
      </c>
      <c r="AK271" s="121">
        <f t="shared" si="73"/>
        <v>42675</v>
      </c>
    </row>
    <row r="272" spans="1:37" ht="15">
      <c r="A272" s="113">
        <v>42705</v>
      </c>
      <c r="B272" s="113" t="e">
        <f t="shared" si="60"/>
        <v>#N/A</v>
      </c>
      <c r="C272" s="108" t="e">
        <f t="shared" si="62"/>
        <v>#N/A</v>
      </c>
      <c r="D272" s="114">
        <f t="shared" si="66"/>
        <v>0</v>
      </c>
      <c r="E272" s="114" t="e">
        <f t="shared" si="61"/>
        <v>#N/A</v>
      </c>
      <c r="F272" s="108" t="e">
        <f t="shared" si="67"/>
        <v>#N/A</v>
      </c>
      <c r="G272" s="114">
        <f t="shared" si="68"/>
        <v>0</v>
      </c>
      <c r="H272" s="110">
        <v>272</v>
      </c>
      <c r="I272" s="115">
        <v>0.0019</v>
      </c>
      <c r="J272" s="116">
        <v>0.0014</v>
      </c>
      <c r="K272" s="115">
        <v>0.001849</v>
      </c>
      <c r="L272" s="116">
        <v>0.0083</v>
      </c>
      <c r="M272" s="117">
        <v>0.0112</v>
      </c>
      <c r="N272" s="118">
        <f>IF(A272&gt;Dados!$C$16,0,IF(A272=Dados!$C$16,1,SUMIF($A$3:$A$500,CONCATENATE("&gt;",TEXT(DATEVALUE(TEXT(A272,"dd/mm/aaaa")),0)),$M$3:$M$500)-SUMIF($A$3:$A$500,CONCATENATE("&gt;",TEXT(Dados!$C$16-1,0)),$M$3:$M$500)+1%))</f>
        <v>0</v>
      </c>
      <c r="O272" s="119">
        <v>0.005</v>
      </c>
      <c r="P272" s="120">
        <f t="shared" si="63"/>
        <v>0.150282</v>
      </c>
      <c r="Q272" s="119">
        <v>0.005</v>
      </c>
      <c r="R272" s="120">
        <f t="shared" si="64"/>
        <v>0.150282</v>
      </c>
      <c r="S272" s="119">
        <v>0.005</v>
      </c>
      <c r="T272" s="120">
        <f t="shared" si="65"/>
        <v>0.150282</v>
      </c>
      <c r="AG272" s="121">
        <f t="shared" si="69"/>
        <v>42705</v>
      </c>
      <c r="AH272" s="121">
        <f t="shared" si="70"/>
        <v>42705</v>
      </c>
      <c r="AI272" s="121">
        <f t="shared" si="71"/>
        <v>42705</v>
      </c>
      <c r="AJ272" s="121">
        <f t="shared" si="72"/>
        <v>42705</v>
      </c>
      <c r="AK272" s="121">
        <f t="shared" si="73"/>
        <v>42705</v>
      </c>
    </row>
    <row r="273" spans="1:37" ht="15">
      <c r="A273" s="113">
        <v>42736</v>
      </c>
      <c r="B273" s="113" t="e">
        <f t="shared" si="60"/>
        <v>#N/A</v>
      </c>
      <c r="C273" s="108" t="e">
        <f t="shared" si="62"/>
        <v>#N/A</v>
      </c>
      <c r="D273" s="114">
        <f t="shared" si="66"/>
        <v>0</v>
      </c>
      <c r="E273" s="114" t="e">
        <f t="shared" si="61"/>
        <v>#N/A</v>
      </c>
      <c r="F273" s="108" t="e">
        <f t="shared" si="67"/>
        <v>#N/A</v>
      </c>
      <c r="G273" s="114">
        <f t="shared" si="68"/>
        <v>0</v>
      </c>
      <c r="H273" s="110">
        <v>273</v>
      </c>
      <c r="I273" s="115">
        <v>0.0031</v>
      </c>
      <c r="J273" s="116">
        <v>0.0042</v>
      </c>
      <c r="K273" s="115">
        <v>0.0017</v>
      </c>
      <c r="L273" s="116">
        <v>0.0043</v>
      </c>
      <c r="M273" s="117">
        <v>0.0109</v>
      </c>
      <c r="N273" s="118">
        <f>IF(A273&gt;Dados!$C$16,0,IF(A273=Dados!$C$16,1,SUMIF($A$3:$A$500,CONCATENATE("&gt;",TEXT(DATEVALUE(TEXT(A273,"dd/mm/aaaa")),0)),$M$3:$M$500)-SUMIF($A$3:$A$500,CONCATENATE("&gt;",TEXT(Dados!$C$16-1,0)),$M$3:$M$500)+1%))</f>
        <v>0</v>
      </c>
      <c r="O273" s="119">
        <v>0.005</v>
      </c>
      <c r="P273" s="120">
        <f t="shared" si="63"/>
        <v>0.145282</v>
      </c>
      <c r="Q273" s="119">
        <v>0.005</v>
      </c>
      <c r="R273" s="120">
        <f t="shared" si="64"/>
        <v>0.145282</v>
      </c>
      <c r="S273" s="119">
        <v>0.005</v>
      </c>
      <c r="T273" s="120">
        <f t="shared" si="65"/>
        <v>0.145282</v>
      </c>
      <c r="AG273" s="121">
        <f t="shared" si="69"/>
        <v>42736</v>
      </c>
      <c r="AH273" s="121">
        <f t="shared" si="70"/>
        <v>42736</v>
      </c>
      <c r="AI273" s="121">
        <f t="shared" si="71"/>
        <v>42736</v>
      </c>
      <c r="AJ273" s="121">
        <f t="shared" si="72"/>
        <v>42736</v>
      </c>
      <c r="AK273" s="121">
        <f t="shared" si="73"/>
        <v>42736</v>
      </c>
    </row>
    <row r="274" spans="1:37" ht="15">
      <c r="A274" s="113">
        <v>42767</v>
      </c>
      <c r="B274" s="113" t="e">
        <f t="shared" si="60"/>
        <v>#N/A</v>
      </c>
      <c r="C274" s="108" t="e">
        <f t="shared" si="62"/>
        <v>#N/A</v>
      </c>
      <c r="D274" s="114">
        <f t="shared" si="66"/>
        <v>0</v>
      </c>
      <c r="E274" s="114" t="e">
        <f t="shared" si="61"/>
        <v>#N/A</v>
      </c>
      <c r="F274" s="108" t="e">
        <f t="shared" si="67"/>
        <v>#N/A</v>
      </c>
      <c r="G274" s="114">
        <f t="shared" si="68"/>
        <v>0</v>
      </c>
      <c r="H274" s="110">
        <v>274</v>
      </c>
      <c r="I274" s="115">
        <v>0.0054</v>
      </c>
      <c r="J274" s="116">
        <v>0.0024</v>
      </c>
      <c r="K274" s="115">
        <v>0.000302</v>
      </c>
      <c r="L274" s="116">
        <v>0.0006</v>
      </c>
      <c r="M274" s="117">
        <v>0.0087</v>
      </c>
      <c r="N274" s="118">
        <f>IF(A274&gt;Dados!$C$16,0,IF(A274=Dados!$C$16,1,SUMIF($A$3:$A$500,CONCATENATE("&gt;",TEXT(DATEVALUE(TEXT(A274,"dd/mm/aaaa")),0)),$M$3:$M$500)-SUMIF($A$3:$A$500,CONCATENATE("&gt;",TEXT(Dados!$C$16-1,0)),$M$3:$M$500)+1%))</f>
        <v>0</v>
      </c>
      <c r="O274" s="119">
        <v>0.005</v>
      </c>
      <c r="P274" s="120">
        <f t="shared" si="63"/>
        <v>0.140282</v>
      </c>
      <c r="Q274" s="119">
        <v>0.005</v>
      </c>
      <c r="R274" s="120">
        <f t="shared" si="64"/>
        <v>0.140282</v>
      </c>
      <c r="S274" s="119">
        <v>0.005</v>
      </c>
      <c r="T274" s="120">
        <f t="shared" si="65"/>
        <v>0.140282</v>
      </c>
      <c r="AG274" s="121">
        <f t="shared" si="69"/>
        <v>42767</v>
      </c>
      <c r="AH274" s="121">
        <f t="shared" si="70"/>
        <v>42767</v>
      </c>
      <c r="AI274" s="121">
        <f t="shared" si="71"/>
        <v>42767</v>
      </c>
      <c r="AJ274" s="121">
        <f t="shared" si="72"/>
        <v>42767</v>
      </c>
      <c r="AK274" s="121">
        <f t="shared" si="73"/>
        <v>42767</v>
      </c>
    </row>
    <row r="275" spans="1:37" ht="15">
      <c r="A275" s="113">
        <v>42795</v>
      </c>
      <c r="B275" s="113" t="e">
        <f t="shared" si="60"/>
        <v>#N/A</v>
      </c>
      <c r="C275" s="108" t="e">
        <f t="shared" si="62"/>
        <v>#N/A</v>
      </c>
      <c r="D275" s="114">
        <f t="shared" si="66"/>
        <v>0</v>
      </c>
      <c r="E275" s="114" t="e">
        <f t="shared" si="61"/>
        <v>#N/A</v>
      </c>
      <c r="F275" s="108" t="e">
        <f t="shared" si="67"/>
        <v>#N/A</v>
      </c>
      <c r="G275" s="114">
        <f t="shared" si="68"/>
        <v>0</v>
      </c>
      <c r="H275" s="110">
        <v>275</v>
      </c>
      <c r="I275" s="115">
        <v>0.0015</v>
      </c>
      <c r="J275" s="116">
        <v>0.0032</v>
      </c>
      <c r="K275" s="115">
        <v>0.001519</v>
      </c>
      <c r="L275" s="116">
        <v>-0.0038</v>
      </c>
      <c r="M275" s="117">
        <v>0.0105</v>
      </c>
      <c r="N275" s="118">
        <f>IF(A275&gt;Dados!$C$16,0,IF(A275=Dados!$C$16,1,SUMIF($A$3:$A$500,CONCATENATE("&gt;",TEXT(DATEVALUE(TEXT(A275,"dd/mm/aaaa")),0)),$M$3:$M$500)-SUMIF($A$3:$A$500,CONCATENATE("&gt;",TEXT(Dados!$C$16-1,0)),$M$3:$M$500)+1%))</f>
        <v>0</v>
      </c>
      <c r="O275" s="119">
        <v>0.005</v>
      </c>
      <c r="P275" s="120">
        <f t="shared" si="63"/>
        <v>0.135282</v>
      </c>
      <c r="Q275" s="119">
        <v>0.005</v>
      </c>
      <c r="R275" s="120">
        <f t="shared" si="64"/>
        <v>0.135282</v>
      </c>
      <c r="S275" s="119">
        <v>0.005</v>
      </c>
      <c r="T275" s="120">
        <f t="shared" si="65"/>
        <v>0.135282</v>
      </c>
      <c r="AG275" s="121">
        <f t="shared" si="69"/>
        <v>42795</v>
      </c>
      <c r="AH275" s="121">
        <f t="shared" si="70"/>
        <v>42795</v>
      </c>
      <c r="AI275" s="121">
        <f t="shared" si="71"/>
        <v>42795</v>
      </c>
      <c r="AJ275" s="121">
        <f t="shared" si="72"/>
        <v>42795</v>
      </c>
      <c r="AK275" s="121">
        <f t="shared" si="73"/>
        <v>42795</v>
      </c>
    </row>
    <row r="276" spans="1:37" ht="15">
      <c r="A276" s="113">
        <v>42826</v>
      </c>
      <c r="B276" s="113" t="e">
        <f t="shared" si="60"/>
        <v>#N/A</v>
      </c>
      <c r="C276" s="108" t="e">
        <f t="shared" si="62"/>
        <v>#N/A</v>
      </c>
      <c r="D276" s="114">
        <f t="shared" si="66"/>
        <v>0</v>
      </c>
      <c r="E276" s="114" t="e">
        <f t="shared" si="61"/>
        <v>#N/A</v>
      </c>
      <c r="F276" s="108" t="e">
        <f t="shared" si="67"/>
        <v>#N/A</v>
      </c>
      <c r="G276" s="114">
        <f t="shared" si="68"/>
        <v>0</v>
      </c>
      <c r="H276" s="110">
        <v>276</v>
      </c>
      <c r="I276" s="115">
        <v>0.0021</v>
      </c>
      <c r="J276" s="116">
        <v>0.0008</v>
      </c>
      <c r="K276" s="115">
        <v>0</v>
      </c>
      <c r="L276" s="116">
        <v>-0.0124</v>
      </c>
      <c r="M276" s="117">
        <v>0.0079</v>
      </c>
      <c r="N276" s="118">
        <f>IF(A276&gt;Dados!$C$16,0,IF(A276=Dados!$C$16,1,SUMIF($A$3:$A$500,CONCATENATE("&gt;",TEXT(DATEVALUE(TEXT(A276,"dd/mm/aaaa")),0)),$M$3:$M$500)-SUMIF($A$3:$A$500,CONCATENATE("&gt;",TEXT(Dados!$C$16-1,0)),$M$3:$M$500)+1%))</f>
        <v>0</v>
      </c>
      <c r="O276" s="119">
        <v>0.005</v>
      </c>
      <c r="P276" s="120">
        <f t="shared" si="63"/>
        <v>0.130282</v>
      </c>
      <c r="Q276" s="119">
        <v>0.005</v>
      </c>
      <c r="R276" s="120">
        <f t="shared" si="64"/>
        <v>0.130282</v>
      </c>
      <c r="S276" s="119">
        <v>0.005</v>
      </c>
      <c r="T276" s="120">
        <f t="shared" si="65"/>
        <v>0.130282</v>
      </c>
      <c r="AC276" s="104">
        <v>1</v>
      </c>
      <c r="AG276" s="121">
        <f t="shared" si="69"/>
        <v>42826</v>
      </c>
      <c r="AH276" s="121">
        <f t="shared" si="70"/>
        <v>42826</v>
      </c>
      <c r="AI276" s="121">
        <f t="shared" si="71"/>
        <v>42826</v>
      </c>
      <c r="AJ276" s="121">
        <f t="shared" si="72"/>
        <v>42826</v>
      </c>
      <c r="AK276" s="121">
        <f t="shared" si="73"/>
        <v>42826</v>
      </c>
    </row>
    <row r="277" spans="1:37" ht="15">
      <c r="A277" s="113">
        <v>42856</v>
      </c>
      <c r="B277" s="113" t="e">
        <f t="shared" si="60"/>
        <v>#N/A</v>
      </c>
      <c r="C277" s="108" t="e">
        <f t="shared" si="62"/>
        <v>#N/A</v>
      </c>
      <c r="D277" s="114">
        <f t="shared" si="66"/>
        <v>0</v>
      </c>
      <c r="E277" s="114" t="e">
        <f t="shared" si="61"/>
        <v>#N/A</v>
      </c>
      <c r="F277" s="108" t="e">
        <f t="shared" si="67"/>
        <v>#N/A</v>
      </c>
      <c r="G277" s="114">
        <f t="shared" si="68"/>
        <v>0</v>
      </c>
      <c r="H277" s="110">
        <v>277</v>
      </c>
      <c r="I277" s="115">
        <v>0.0024</v>
      </c>
      <c r="J277" s="116">
        <v>0.0036</v>
      </c>
      <c r="K277" s="115">
        <v>0.000764</v>
      </c>
      <c r="L277" s="116">
        <v>-0.0051</v>
      </c>
      <c r="M277" s="117">
        <v>0.0093</v>
      </c>
      <c r="N277" s="118">
        <f>IF(A277&gt;Dados!$C$16,0,IF(A277=Dados!$C$16,1,SUMIF($A$3:$A$500,CONCATENATE("&gt;",TEXT(DATEVALUE(TEXT(A277,"dd/mm/aaaa")),0)),$M$3:$M$500)-SUMIF($A$3:$A$500,CONCATENATE("&gt;",TEXT(Dados!$C$16-1,0)),$M$3:$M$500)+1%))</f>
        <v>0</v>
      </c>
      <c r="O277" s="119">
        <v>0.005</v>
      </c>
      <c r="P277" s="120">
        <f t="shared" si="63"/>
        <v>0.125282</v>
      </c>
      <c r="Q277" s="119">
        <v>0.005</v>
      </c>
      <c r="R277" s="120">
        <f t="shared" si="64"/>
        <v>0.125282</v>
      </c>
      <c r="S277" s="119">
        <v>0.005</v>
      </c>
      <c r="T277" s="120">
        <f t="shared" si="65"/>
        <v>0.125282</v>
      </c>
      <c r="AG277" s="121">
        <f t="shared" si="69"/>
        <v>42856</v>
      </c>
      <c r="AH277" s="121">
        <f t="shared" si="70"/>
        <v>42856</v>
      </c>
      <c r="AI277" s="121">
        <f t="shared" si="71"/>
        <v>42856</v>
      </c>
      <c r="AJ277" s="121">
        <f t="shared" si="72"/>
        <v>42856</v>
      </c>
      <c r="AK277" s="121">
        <f t="shared" si="73"/>
        <v>42856</v>
      </c>
    </row>
    <row r="278" spans="1:37" ht="15">
      <c r="A278" s="113">
        <v>42887</v>
      </c>
      <c r="B278" s="113" t="e">
        <f t="shared" si="60"/>
        <v>#N/A</v>
      </c>
      <c r="C278" s="108" t="e">
        <f t="shared" si="62"/>
        <v>#N/A</v>
      </c>
      <c r="D278" s="114">
        <f t="shared" si="66"/>
        <v>0</v>
      </c>
      <c r="E278" s="114" t="e">
        <f t="shared" si="61"/>
        <v>#N/A</v>
      </c>
      <c r="F278" s="108" t="e">
        <f t="shared" si="67"/>
        <v>#N/A</v>
      </c>
      <c r="G278" s="114">
        <f t="shared" si="68"/>
        <v>0</v>
      </c>
      <c r="H278" s="110">
        <v>278</v>
      </c>
      <c r="I278" s="115">
        <v>0.0016</v>
      </c>
      <c r="J278" s="116">
        <v>-0.003</v>
      </c>
      <c r="K278" s="115">
        <v>0.000536</v>
      </c>
      <c r="L278" s="116">
        <v>-0.0096</v>
      </c>
      <c r="M278" s="117">
        <v>0.0081</v>
      </c>
      <c r="N278" s="118">
        <f>IF(A278&gt;Dados!$C$16,0,IF(A278=Dados!$C$16,1,SUMIF($A$3:$A$500,CONCATENATE("&gt;",TEXT(DATEVALUE(TEXT(A278,"dd/mm/aaaa")),0)),$M$3:$M$500)-SUMIF($A$3:$A$500,CONCATENATE("&gt;",TEXT(Dados!$C$16-1,0)),$M$3:$M$500)+1%))</f>
        <v>0</v>
      </c>
      <c r="O278" s="119">
        <v>0.005</v>
      </c>
      <c r="P278" s="120">
        <f t="shared" si="63"/>
        <v>0.120282</v>
      </c>
      <c r="Q278" s="119">
        <v>0.005</v>
      </c>
      <c r="R278" s="120">
        <f t="shared" si="64"/>
        <v>0.120282</v>
      </c>
      <c r="S278" s="119">
        <v>0.005</v>
      </c>
      <c r="T278" s="120">
        <f t="shared" si="65"/>
        <v>0.120282</v>
      </c>
      <c r="AG278" s="121">
        <f t="shared" si="69"/>
        <v>42887</v>
      </c>
      <c r="AH278" s="121">
        <f t="shared" si="70"/>
        <v>42887</v>
      </c>
      <c r="AI278" s="121">
        <f t="shared" si="71"/>
        <v>42887</v>
      </c>
      <c r="AJ278" s="121">
        <f t="shared" si="72"/>
        <v>42887</v>
      </c>
      <c r="AK278" s="121">
        <f t="shared" si="73"/>
        <v>42887</v>
      </c>
    </row>
    <row r="279" spans="1:37" ht="15">
      <c r="A279" s="113">
        <v>42917</v>
      </c>
      <c r="B279" s="113" t="e">
        <f t="shared" si="60"/>
        <v>#N/A</v>
      </c>
      <c r="C279" s="108" t="e">
        <f t="shared" si="62"/>
        <v>#N/A</v>
      </c>
      <c r="D279" s="114">
        <f t="shared" si="66"/>
        <v>0</v>
      </c>
      <c r="E279" s="114" t="e">
        <f t="shared" si="61"/>
        <v>#N/A</v>
      </c>
      <c r="F279" s="108" t="e">
        <f t="shared" si="67"/>
        <v>#N/A</v>
      </c>
      <c r="G279" s="114">
        <f t="shared" si="68"/>
        <v>0</v>
      </c>
      <c r="H279" s="110">
        <v>279</v>
      </c>
      <c r="I279" s="115">
        <v>-0.0018</v>
      </c>
      <c r="J279" s="116">
        <v>0.0017</v>
      </c>
      <c r="K279" s="115">
        <v>0.000623</v>
      </c>
      <c r="L279" s="116">
        <v>-0.003</v>
      </c>
      <c r="M279" s="117">
        <v>0.008</v>
      </c>
      <c r="N279" s="118">
        <f>IF(A279&gt;Dados!$C$16,0,IF(A279=Dados!$C$16,1,SUMIF($A$3:$A$500,CONCATENATE("&gt;",TEXT(DATEVALUE(TEXT(A279,"dd/mm/aaaa")),0)),$M$3:$M$500)-SUMIF($A$3:$A$500,CONCATENATE("&gt;",TEXT(Dados!$C$16-1,0)),$M$3:$M$500)+1%))</f>
        <v>0</v>
      </c>
      <c r="O279" s="119">
        <v>0.005</v>
      </c>
      <c r="P279" s="120">
        <f t="shared" si="63"/>
        <v>0.115282</v>
      </c>
      <c r="Q279" s="119">
        <v>0.005</v>
      </c>
      <c r="R279" s="120">
        <f t="shared" si="64"/>
        <v>0.115282</v>
      </c>
      <c r="S279" s="119">
        <v>0.005</v>
      </c>
      <c r="T279" s="120">
        <f t="shared" si="65"/>
        <v>0.115282</v>
      </c>
      <c r="AG279" s="121">
        <f t="shared" si="69"/>
        <v>42917</v>
      </c>
      <c r="AH279" s="121">
        <f t="shared" si="70"/>
        <v>42917</v>
      </c>
      <c r="AI279" s="121">
        <f t="shared" si="71"/>
        <v>42917</v>
      </c>
      <c r="AJ279" s="121">
        <f t="shared" si="72"/>
        <v>42917</v>
      </c>
      <c r="AK279" s="121">
        <f t="shared" si="73"/>
        <v>42917</v>
      </c>
    </row>
    <row r="280" spans="1:37" ht="15">
      <c r="A280" s="113">
        <v>42948</v>
      </c>
      <c r="B280" s="113" t="e">
        <f t="shared" si="60"/>
        <v>#N/A</v>
      </c>
      <c r="C280" s="108" t="e">
        <f t="shared" si="62"/>
        <v>#N/A</v>
      </c>
      <c r="D280" s="114">
        <f t="shared" si="66"/>
        <v>0</v>
      </c>
      <c r="E280" s="114" t="e">
        <f t="shared" si="61"/>
        <v>#N/A</v>
      </c>
      <c r="F280" s="108" t="e">
        <f t="shared" si="67"/>
        <v>#N/A</v>
      </c>
      <c r="G280" s="114">
        <f t="shared" si="68"/>
        <v>0</v>
      </c>
      <c r="H280" s="110">
        <v>280</v>
      </c>
      <c r="I280" s="115">
        <v>0.0035</v>
      </c>
      <c r="J280" s="116">
        <v>-0.0003</v>
      </c>
      <c r="K280" s="115">
        <v>0.000509</v>
      </c>
      <c r="L280" s="116">
        <v>0.0024</v>
      </c>
      <c r="M280" s="117">
        <v>0.008</v>
      </c>
      <c r="N280" s="118">
        <f>IF(A280&gt;Dados!$C$16,0,IF(A280=Dados!$C$16,1,SUMIF($A$3:$A$500,CONCATENATE("&gt;",TEXT(DATEVALUE(TEXT(A280,"dd/mm/aaaa")),0)),$M$3:$M$500)-SUMIF($A$3:$A$500,CONCATENATE("&gt;",TEXT(Dados!$C$16-1,0)),$M$3:$M$500)+1%))</f>
        <v>0</v>
      </c>
      <c r="O280" s="119">
        <v>0.005</v>
      </c>
      <c r="P280" s="120">
        <f t="shared" si="63"/>
        <v>0.110282</v>
      </c>
      <c r="Q280" s="119">
        <v>0.005</v>
      </c>
      <c r="R280" s="120">
        <f t="shared" si="64"/>
        <v>0.110282</v>
      </c>
      <c r="S280" s="119">
        <v>0.005</v>
      </c>
      <c r="T280" s="120">
        <f t="shared" si="65"/>
        <v>0.110282</v>
      </c>
      <c r="AG280" s="121">
        <f t="shared" si="69"/>
        <v>42948</v>
      </c>
      <c r="AH280" s="121">
        <f t="shared" si="70"/>
        <v>42948</v>
      </c>
      <c r="AI280" s="121">
        <f t="shared" si="71"/>
        <v>42948</v>
      </c>
      <c r="AJ280" s="121">
        <f t="shared" si="72"/>
        <v>42948</v>
      </c>
      <c r="AK280" s="121">
        <f t="shared" si="73"/>
        <v>42948</v>
      </c>
    </row>
    <row r="281" spans="1:37" ht="15">
      <c r="A281" s="144">
        <v>42979</v>
      </c>
      <c r="B281" s="144" t="e">
        <f>Dados!U23</f>
        <v>#N/A</v>
      </c>
      <c r="C281" s="108" t="e">
        <f>IF(AND(B280="TR",B281="IPCA-E"),0.0366%,IF(AND(B280="TR",B281="INPC"),(-0.0066%),IF(B281="IPCA-E",I281,IF(B281="INPC",J281,IF(B281="TR",K281,IF(B281="IGP-DI",L281,IF(B281="SELIC",K281,M281)))))))</f>
        <v>#N/A</v>
      </c>
      <c r="D281" s="114">
        <f t="shared" si="66"/>
        <v>0</v>
      </c>
      <c r="E281" s="144" t="e">
        <f>Dados!U63</f>
        <v>#N/A</v>
      </c>
      <c r="F281" s="108" t="e">
        <f t="shared" si="67"/>
        <v>#N/A</v>
      </c>
      <c r="G281" s="114">
        <f t="shared" si="68"/>
        <v>0</v>
      </c>
      <c r="H281" s="145">
        <v>281</v>
      </c>
      <c r="I281" s="141">
        <v>0.0011</v>
      </c>
      <c r="J281" s="142">
        <v>-0.0002</v>
      </c>
      <c r="K281" s="141">
        <v>0</v>
      </c>
      <c r="L281" s="142">
        <v>0.0062</v>
      </c>
      <c r="M281" s="146">
        <v>0.0064</v>
      </c>
      <c r="N281" s="118">
        <f>IF(A281&gt;Dados!$C$16,0,IF(A281=Dados!$C$16,1,SUMIF($A$3:$A$500,CONCATENATE("&gt;",TEXT(DATEVALUE(TEXT(A281,"dd/mm/aaaa")),0)),$M$3:$M$500)-SUMIF($A$3:$A$500,CONCATENATE("&gt;",TEXT(Dados!$C$16-1,0)),$M$3:$M$500)+1%))</f>
        <v>0</v>
      </c>
      <c r="O281" s="119">
        <v>0.005</v>
      </c>
      <c r="P281" s="120">
        <f t="shared" si="63"/>
        <v>0.105282</v>
      </c>
      <c r="Q281" s="119">
        <v>0.005</v>
      </c>
      <c r="R281" s="120">
        <f t="shared" si="64"/>
        <v>0.105282</v>
      </c>
      <c r="S281" s="119">
        <v>0.005</v>
      </c>
      <c r="T281" s="120">
        <f t="shared" si="65"/>
        <v>0.105282</v>
      </c>
      <c r="AA281" s="3"/>
      <c r="AB281" s="3"/>
      <c r="AC281" s="3">
        <v>1</v>
      </c>
      <c r="AD281" s="3"/>
      <c r="AE281" s="3"/>
      <c r="AF281" s="3"/>
      <c r="AG281" s="121">
        <f t="shared" si="69"/>
        <v>42979</v>
      </c>
      <c r="AH281" s="121">
        <f t="shared" si="70"/>
        <v>42979</v>
      </c>
      <c r="AI281" s="121">
        <f t="shared" si="71"/>
        <v>42979</v>
      </c>
      <c r="AJ281" s="121">
        <f t="shared" si="72"/>
        <v>42979</v>
      </c>
      <c r="AK281" s="121">
        <f t="shared" si="73"/>
        <v>42979</v>
      </c>
    </row>
    <row r="282" spans="1:37" ht="15">
      <c r="A282" s="113">
        <v>43009</v>
      </c>
      <c r="B282" s="113" t="e">
        <f>B281</f>
        <v>#N/A</v>
      </c>
      <c r="C282" s="108" t="e">
        <f t="shared" si="62"/>
        <v>#N/A</v>
      </c>
      <c r="D282" s="114">
        <f t="shared" si="66"/>
        <v>0</v>
      </c>
      <c r="E282" s="114" t="e">
        <f>E281</f>
        <v>#N/A</v>
      </c>
      <c r="F282" s="108" t="e">
        <f t="shared" si="67"/>
        <v>#N/A</v>
      </c>
      <c r="G282" s="114">
        <f t="shared" si="68"/>
        <v>0</v>
      </c>
      <c r="H282" s="110">
        <v>282</v>
      </c>
      <c r="I282" s="115">
        <v>0.0034</v>
      </c>
      <c r="J282" s="116">
        <v>0.0037</v>
      </c>
      <c r="K282" s="115">
        <v>0</v>
      </c>
      <c r="L282" s="116">
        <v>0.001</v>
      </c>
      <c r="M282" s="117">
        <v>0.0064</v>
      </c>
      <c r="N282" s="118">
        <f>IF(A282&gt;Dados!$C$16,0,IF(A282=Dados!$C$16,1,SUMIF($A$3:$A$500,CONCATENATE("&gt;",TEXT(DATEVALUE(TEXT(A282,"dd/mm/aaaa")),0)),$M$3:$M$500)-SUMIF($A$3:$A$500,CONCATENATE("&gt;",TEXT(Dados!$C$16-1,0)),$M$3:$M$500)+1%))</f>
        <v>0</v>
      </c>
      <c r="O282" s="119">
        <v>0.005</v>
      </c>
      <c r="P282" s="120">
        <f t="shared" si="63"/>
        <v>0.100282</v>
      </c>
      <c r="Q282" s="119">
        <v>0.005</v>
      </c>
      <c r="R282" s="120">
        <f t="shared" si="64"/>
        <v>0.100282</v>
      </c>
      <c r="S282" s="119">
        <v>0.005</v>
      </c>
      <c r="T282" s="120">
        <f t="shared" si="65"/>
        <v>0.100282</v>
      </c>
      <c r="AC282" s="3">
        <v>1</v>
      </c>
      <c r="AG282" s="121">
        <f t="shared" si="69"/>
        <v>43009</v>
      </c>
      <c r="AH282" s="121">
        <f t="shared" si="70"/>
        <v>43009</v>
      </c>
      <c r="AI282" s="121">
        <f t="shared" si="71"/>
        <v>43009</v>
      </c>
      <c r="AJ282" s="121">
        <f t="shared" si="72"/>
        <v>43009</v>
      </c>
      <c r="AK282" s="121">
        <f t="shared" si="73"/>
        <v>43009</v>
      </c>
    </row>
    <row r="283" spans="1:37" ht="15">
      <c r="A283" s="122">
        <v>43040</v>
      </c>
      <c r="B283" s="113" t="e">
        <f aca="true" t="shared" si="74" ref="B283:B346">B282</f>
        <v>#N/A</v>
      </c>
      <c r="C283" s="108" t="e">
        <f t="shared" si="62"/>
        <v>#N/A</v>
      </c>
      <c r="D283" s="114">
        <f t="shared" si="66"/>
        <v>0</v>
      </c>
      <c r="E283" s="114" t="e">
        <f aca="true" t="shared" si="75" ref="E283:E346">E282</f>
        <v>#N/A</v>
      </c>
      <c r="F283" s="108" t="e">
        <f t="shared" si="67"/>
        <v>#N/A</v>
      </c>
      <c r="G283" s="114">
        <f t="shared" si="68"/>
        <v>0</v>
      </c>
      <c r="H283" s="110">
        <v>283</v>
      </c>
      <c r="I283" s="115">
        <v>0.0032</v>
      </c>
      <c r="J283" s="116">
        <v>0.0018</v>
      </c>
      <c r="K283" s="115">
        <v>0</v>
      </c>
      <c r="L283" s="116">
        <v>0.008</v>
      </c>
      <c r="M283" s="117">
        <v>0.0057</v>
      </c>
      <c r="N283" s="118">
        <f>IF(A283&gt;Dados!$C$16,0,IF(A283=Dados!$C$16,1,SUMIF($A$3:$A$500,CONCATENATE("&gt;",TEXT(DATEVALUE(TEXT(A283,"dd/mm/aaaa")),0)),$M$3:$M$500)-SUMIF($A$3:$A$500,CONCATENATE("&gt;",TEXT(Dados!$C$16-1,0)),$M$3:$M$500)+1%))</f>
        <v>0</v>
      </c>
      <c r="O283" s="116">
        <v>0.00469</v>
      </c>
      <c r="P283" s="120">
        <f t="shared" si="63"/>
        <v>0.095592</v>
      </c>
      <c r="Q283" s="116">
        <v>0.00469</v>
      </c>
      <c r="R283" s="120">
        <f t="shared" si="64"/>
        <v>0.095592</v>
      </c>
      <c r="S283" s="116">
        <v>0.00469</v>
      </c>
      <c r="T283" s="120">
        <f t="shared" si="65"/>
        <v>0.095592</v>
      </c>
      <c r="AC283" s="3">
        <v>1</v>
      </c>
      <c r="AG283" s="121">
        <f t="shared" si="69"/>
        <v>43040</v>
      </c>
      <c r="AH283" s="121">
        <f t="shared" si="70"/>
        <v>43040</v>
      </c>
      <c r="AI283" s="121">
        <f t="shared" si="71"/>
        <v>43040</v>
      </c>
      <c r="AJ283" s="121">
        <f t="shared" si="72"/>
        <v>43040</v>
      </c>
      <c r="AK283" s="121">
        <f t="shared" si="73"/>
        <v>43040</v>
      </c>
    </row>
    <row r="284" spans="1:37" ht="15">
      <c r="A284" s="113">
        <v>43070</v>
      </c>
      <c r="B284" s="113" t="e">
        <f t="shared" si="74"/>
        <v>#N/A</v>
      </c>
      <c r="C284" s="108" t="e">
        <f t="shared" si="62"/>
        <v>#N/A</v>
      </c>
      <c r="D284" s="114">
        <f t="shared" si="66"/>
        <v>0</v>
      </c>
      <c r="E284" s="114" t="e">
        <f t="shared" si="75"/>
        <v>#N/A</v>
      </c>
      <c r="F284" s="108" t="e">
        <f t="shared" si="67"/>
        <v>#N/A</v>
      </c>
      <c r="G284" s="114">
        <f t="shared" si="68"/>
        <v>0</v>
      </c>
      <c r="H284" s="110">
        <v>284</v>
      </c>
      <c r="I284" s="115">
        <v>0.0035</v>
      </c>
      <c r="J284" s="116">
        <v>0.0026</v>
      </c>
      <c r="K284" s="115">
        <v>0</v>
      </c>
      <c r="L284" s="116">
        <v>0.0074</v>
      </c>
      <c r="M284" s="117">
        <v>0.0054</v>
      </c>
      <c r="N284" s="118">
        <f>IF(A284&gt;Dados!$C$16,0,IF(A284=Dados!$C$16,1,SUMIF($A$3:$A$500,CONCATENATE("&gt;",TEXT(DATEVALUE(TEXT(A284,"dd/mm/aaaa")),0)),$M$3:$M$500)-SUMIF($A$3:$A$500,CONCATENATE("&gt;",TEXT(Dados!$C$16-1,0)),$M$3:$M$500)+1%))</f>
        <v>0</v>
      </c>
      <c r="O284" s="116">
        <v>0.004273</v>
      </c>
      <c r="P284" s="120">
        <f t="shared" si="63"/>
        <v>0.091319</v>
      </c>
      <c r="Q284" s="116">
        <v>0.004273</v>
      </c>
      <c r="R284" s="120">
        <f t="shared" si="64"/>
        <v>0.091319</v>
      </c>
      <c r="S284" s="116">
        <v>0.004273</v>
      </c>
      <c r="T284" s="120">
        <f t="shared" si="65"/>
        <v>0.091319</v>
      </c>
      <c r="AC284" s="3">
        <v>1</v>
      </c>
      <c r="AG284" s="121">
        <f t="shared" si="69"/>
        <v>43070</v>
      </c>
      <c r="AH284" s="121">
        <f t="shared" si="70"/>
        <v>43070</v>
      </c>
      <c r="AI284" s="121">
        <f t="shared" si="71"/>
        <v>43070</v>
      </c>
      <c r="AJ284" s="121">
        <f t="shared" si="72"/>
        <v>43070</v>
      </c>
      <c r="AK284" s="121">
        <f t="shared" si="73"/>
        <v>43070</v>
      </c>
    </row>
    <row r="285" spans="1:37" ht="15">
      <c r="A285" s="113">
        <v>43101</v>
      </c>
      <c r="B285" s="113" t="e">
        <f t="shared" si="74"/>
        <v>#N/A</v>
      </c>
      <c r="C285" s="108" t="e">
        <f t="shared" si="62"/>
        <v>#N/A</v>
      </c>
      <c r="D285" s="114">
        <f t="shared" si="66"/>
        <v>0</v>
      </c>
      <c r="E285" s="114" t="e">
        <f t="shared" si="75"/>
        <v>#N/A</v>
      </c>
      <c r="F285" s="108" t="e">
        <f t="shared" si="67"/>
        <v>#N/A</v>
      </c>
      <c r="G285" s="114">
        <f t="shared" si="68"/>
        <v>0</v>
      </c>
      <c r="H285" s="110">
        <v>285</v>
      </c>
      <c r="I285" s="115">
        <v>0.0039</v>
      </c>
      <c r="J285" s="116">
        <v>0.0023</v>
      </c>
      <c r="K285" s="115">
        <v>0</v>
      </c>
      <c r="L285" s="116">
        <v>0.0058</v>
      </c>
      <c r="M285" s="117">
        <v>0.0058</v>
      </c>
      <c r="N285" s="118">
        <f>IF(A285&gt;Dados!$C$16,0,IF(A285=Dados!$C$16,1,SUMIF($A$3:$A$500,CONCATENATE("&gt;",TEXT(DATEVALUE(TEXT(A285,"dd/mm/aaaa")),0)),$M$3:$M$500)-SUMIF($A$3:$A$500,CONCATENATE("&gt;",TEXT(Dados!$C$16-1,0)),$M$3:$M$500)+1%))</f>
        <v>0</v>
      </c>
      <c r="O285" s="116">
        <v>0.004273</v>
      </c>
      <c r="P285" s="120">
        <f t="shared" si="63"/>
        <v>0.087046</v>
      </c>
      <c r="Q285" s="116">
        <v>0.004273</v>
      </c>
      <c r="R285" s="120">
        <f t="shared" si="64"/>
        <v>0.087046</v>
      </c>
      <c r="S285" s="116">
        <v>0.004273</v>
      </c>
      <c r="T285" s="120">
        <f t="shared" si="65"/>
        <v>0.087046</v>
      </c>
      <c r="AC285" s="3">
        <v>1</v>
      </c>
      <c r="AG285" s="121">
        <f t="shared" si="69"/>
        <v>43101</v>
      </c>
      <c r="AH285" s="121">
        <f t="shared" si="70"/>
        <v>43101</v>
      </c>
      <c r="AI285" s="121">
        <f t="shared" si="71"/>
        <v>43101</v>
      </c>
      <c r="AJ285" s="121">
        <f t="shared" si="72"/>
        <v>43101</v>
      </c>
      <c r="AK285" s="121">
        <f t="shared" si="73"/>
        <v>43101</v>
      </c>
    </row>
    <row r="286" spans="1:37" ht="15">
      <c r="A286" s="113">
        <v>43132</v>
      </c>
      <c r="B286" s="113" t="e">
        <f t="shared" si="74"/>
        <v>#N/A</v>
      </c>
      <c r="C286" s="108" t="e">
        <f t="shared" si="62"/>
        <v>#N/A</v>
      </c>
      <c r="D286" s="114">
        <f t="shared" si="66"/>
        <v>0</v>
      </c>
      <c r="E286" s="114" t="e">
        <f t="shared" si="75"/>
        <v>#N/A</v>
      </c>
      <c r="F286" s="108" t="e">
        <f t="shared" si="67"/>
        <v>#N/A</v>
      </c>
      <c r="G286" s="114">
        <f t="shared" si="68"/>
        <v>0</v>
      </c>
      <c r="H286" s="110">
        <v>286</v>
      </c>
      <c r="I286" s="115">
        <v>0.0038</v>
      </c>
      <c r="J286" s="116">
        <v>0.0018</v>
      </c>
      <c r="K286" s="115">
        <v>0</v>
      </c>
      <c r="L286" s="116">
        <v>0.0015</v>
      </c>
      <c r="M286" s="117">
        <v>0.0047</v>
      </c>
      <c r="N286" s="118">
        <f>IF(A286&gt;Dados!$C$16,0,IF(A286=Dados!$C$16,1,SUMIF($A$3:$A$500,CONCATENATE("&gt;",TEXT(DATEVALUE(TEXT(A286,"dd/mm/aaaa")),0)),$M$3:$M$500)-SUMIF($A$3:$A$500,CONCATENATE("&gt;",TEXT(Dados!$C$16-1,0)),$M$3:$M$500)+1%))</f>
        <v>0</v>
      </c>
      <c r="O286" s="116">
        <v>0.003994</v>
      </c>
      <c r="P286" s="120">
        <f t="shared" si="63"/>
        <v>0.083052</v>
      </c>
      <c r="Q286" s="116">
        <v>0.003994</v>
      </c>
      <c r="R286" s="120">
        <f t="shared" si="64"/>
        <v>0.083052</v>
      </c>
      <c r="S286" s="116">
        <v>0.003994</v>
      </c>
      <c r="T286" s="120">
        <f t="shared" si="65"/>
        <v>0.083052</v>
      </c>
      <c r="AC286" s="3">
        <v>1</v>
      </c>
      <c r="AG286" s="121">
        <f t="shared" si="69"/>
        <v>43132</v>
      </c>
      <c r="AH286" s="121">
        <f t="shared" si="70"/>
        <v>43132</v>
      </c>
      <c r="AI286" s="121">
        <f t="shared" si="71"/>
        <v>43132</v>
      </c>
      <c r="AJ286" s="121">
        <f t="shared" si="72"/>
        <v>43132</v>
      </c>
      <c r="AK286" s="121">
        <f t="shared" si="73"/>
        <v>43132</v>
      </c>
    </row>
    <row r="287" spans="1:37" ht="15">
      <c r="A287" s="113">
        <v>43160</v>
      </c>
      <c r="B287" s="113" t="e">
        <f t="shared" si="74"/>
        <v>#N/A</v>
      </c>
      <c r="C287" s="108" t="e">
        <f t="shared" si="62"/>
        <v>#N/A</v>
      </c>
      <c r="D287" s="114">
        <f t="shared" si="66"/>
        <v>0</v>
      </c>
      <c r="E287" s="114" t="e">
        <f t="shared" si="75"/>
        <v>#N/A</v>
      </c>
      <c r="F287" s="108" t="e">
        <f t="shared" si="67"/>
        <v>#N/A</v>
      </c>
      <c r="G287" s="114">
        <f t="shared" si="68"/>
        <v>0</v>
      </c>
      <c r="H287" s="110">
        <v>287</v>
      </c>
      <c r="I287" s="115">
        <v>0.001</v>
      </c>
      <c r="J287" s="116">
        <v>0.0007</v>
      </c>
      <c r="K287" s="115">
        <v>0</v>
      </c>
      <c r="L287" s="116">
        <v>0.0056</v>
      </c>
      <c r="M287" s="117">
        <v>0.0053</v>
      </c>
      <c r="N287" s="118">
        <f>IF(A287&gt;Dados!$C$16,0,IF(A287=Dados!$C$16,1,SUMIF($A$3:$A$500,CONCATENATE("&gt;",TEXT(DATEVALUE(TEXT(A287,"dd/mm/aaaa")),0)),$M$3:$M$500)-SUMIF($A$3:$A$500,CONCATENATE("&gt;",TEXT(Dados!$C$16-1,0)),$M$3:$M$500)+1%))</f>
        <v>0</v>
      </c>
      <c r="O287" s="116">
        <v>0.003994</v>
      </c>
      <c r="P287" s="120">
        <f t="shared" si="63"/>
        <v>0.079058</v>
      </c>
      <c r="Q287" s="116">
        <v>0.003994</v>
      </c>
      <c r="R287" s="120">
        <f t="shared" si="64"/>
        <v>0.079058</v>
      </c>
      <c r="S287" s="116">
        <v>0.003994</v>
      </c>
      <c r="T287" s="120">
        <f t="shared" si="65"/>
        <v>0.079058</v>
      </c>
      <c r="AC287" s="3">
        <v>1</v>
      </c>
      <c r="AG287" s="121">
        <f t="shared" si="69"/>
        <v>43160</v>
      </c>
      <c r="AH287" s="121">
        <f t="shared" si="70"/>
        <v>43160</v>
      </c>
      <c r="AI287" s="121">
        <f t="shared" si="71"/>
        <v>43160</v>
      </c>
      <c r="AJ287" s="121">
        <f t="shared" si="72"/>
        <v>43160</v>
      </c>
      <c r="AK287" s="121">
        <f t="shared" si="73"/>
        <v>43160</v>
      </c>
    </row>
    <row r="288" spans="1:37" ht="15">
      <c r="A288" s="113">
        <v>43191</v>
      </c>
      <c r="B288" s="113" t="e">
        <f t="shared" si="74"/>
        <v>#N/A</v>
      </c>
      <c r="C288" s="108" t="e">
        <f t="shared" si="62"/>
        <v>#N/A</v>
      </c>
      <c r="D288" s="114">
        <f t="shared" si="66"/>
        <v>0</v>
      </c>
      <c r="E288" s="114" t="e">
        <f t="shared" si="75"/>
        <v>#N/A</v>
      </c>
      <c r="F288" s="108" t="e">
        <f t="shared" si="67"/>
        <v>#N/A</v>
      </c>
      <c r="G288" s="114">
        <f t="shared" si="68"/>
        <v>0</v>
      </c>
      <c r="H288" s="110">
        <v>288</v>
      </c>
      <c r="I288" s="115">
        <v>0.0021</v>
      </c>
      <c r="J288" s="116">
        <v>0.0021</v>
      </c>
      <c r="K288" s="115">
        <v>0</v>
      </c>
      <c r="L288" s="116">
        <v>0.0093</v>
      </c>
      <c r="M288" s="117">
        <v>0.0052</v>
      </c>
      <c r="N288" s="118">
        <f>IF(A288&gt;Dados!$C$16,0,IF(A288=Dados!$C$16,1,SUMIF($A$3:$A$500,CONCATENATE("&gt;",TEXT(DATEVALUE(TEXT(A288,"dd/mm/aaaa")),0)),$M$3:$M$500)-SUMIF($A$3:$A$500,CONCATENATE("&gt;",TEXT(Dados!$C$16-1,0)),$M$3:$M$500)+1%))</f>
        <v>0</v>
      </c>
      <c r="O288" s="119">
        <v>0.003855</v>
      </c>
      <c r="P288" s="120">
        <f t="shared" si="63"/>
        <v>0.075203</v>
      </c>
      <c r="Q288" s="119">
        <v>0.003855</v>
      </c>
      <c r="R288" s="120">
        <f t="shared" si="64"/>
        <v>0.075203</v>
      </c>
      <c r="S288" s="119">
        <v>0.003855</v>
      </c>
      <c r="T288" s="120">
        <f t="shared" si="65"/>
        <v>0.075203</v>
      </c>
      <c r="AC288" s="3">
        <v>1</v>
      </c>
      <c r="AG288" s="121">
        <f t="shared" si="69"/>
        <v>43191</v>
      </c>
      <c r="AH288" s="121">
        <f t="shared" si="70"/>
        <v>43191</v>
      </c>
      <c r="AI288" s="121">
        <f t="shared" si="71"/>
        <v>43191</v>
      </c>
      <c r="AJ288" s="121">
        <f t="shared" si="72"/>
        <v>43191</v>
      </c>
      <c r="AK288" s="121">
        <f t="shared" si="73"/>
        <v>43191</v>
      </c>
    </row>
    <row r="289" spans="1:37" ht="15">
      <c r="A289" s="113">
        <v>43221</v>
      </c>
      <c r="B289" s="113" t="e">
        <f t="shared" si="74"/>
        <v>#N/A</v>
      </c>
      <c r="C289" s="108" t="e">
        <f t="shared" si="62"/>
        <v>#N/A</v>
      </c>
      <c r="D289" s="114">
        <f t="shared" si="66"/>
        <v>0</v>
      </c>
      <c r="E289" s="114" t="e">
        <f t="shared" si="75"/>
        <v>#N/A</v>
      </c>
      <c r="F289" s="108" t="e">
        <f t="shared" si="67"/>
        <v>#N/A</v>
      </c>
      <c r="G289" s="114">
        <f t="shared" si="68"/>
        <v>0</v>
      </c>
      <c r="H289" s="110">
        <v>289</v>
      </c>
      <c r="I289" s="115">
        <v>0.0014</v>
      </c>
      <c r="J289" s="116">
        <v>0.0043</v>
      </c>
      <c r="K289" s="115">
        <v>0</v>
      </c>
      <c r="L289" s="116">
        <v>0.0164</v>
      </c>
      <c r="M289" s="117">
        <v>0.0052</v>
      </c>
      <c r="N289" s="118">
        <f>IF(A289&gt;Dados!$C$16,0,IF(A289=Dados!$C$16,1,SUMIF($A$3:$A$500,CONCATENATE("&gt;",TEXT(DATEVALUE(TEXT(A289,"dd/mm/aaaa")),0)),$M$3:$M$500)-SUMIF($A$3:$A$500,CONCATENATE("&gt;",TEXT(Dados!$C$16-1,0)),$M$3:$M$500)+1%))</f>
        <v>0</v>
      </c>
      <c r="O289" s="119">
        <v>0.003715</v>
      </c>
      <c r="P289" s="120">
        <f t="shared" si="63"/>
        <v>0.071488</v>
      </c>
      <c r="Q289" s="119">
        <v>0.003715</v>
      </c>
      <c r="R289" s="120">
        <f t="shared" si="64"/>
        <v>0.071488</v>
      </c>
      <c r="S289" s="119">
        <v>0.003715</v>
      </c>
      <c r="T289" s="120">
        <f t="shared" si="65"/>
        <v>0.071488</v>
      </c>
      <c r="AC289" s="3">
        <v>1</v>
      </c>
      <c r="AG289" s="121">
        <f t="shared" si="69"/>
        <v>43221</v>
      </c>
      <c r="AH289" s="121">
        <f t="shared" si="70"/>
        <v>43221</v>
      </c>
      <c r="AI289" s="121">
        <f t="shared" si="71"/>
        <v>43221</v>
      </c>
      <c r="AJ289" s="121">
        <f t="shared" si="72"/>
        <v>43221</v>
      </c>
      <c r="AK289" s="121">
        <f t="shared" si="73"/>
        <v>43221</v>
      </c>
    </row>
    <row r="290" spans="1:37" ht="15">
      <c r="A290" s="113">
        <v>43252</v>
      </c>
      <c r="B290" s="113" t="e">
        <f t="shared" si="74"/>
        <v>#N/A</v>
      </c>
      <c r="C290" s="108" t="e">
        <f t="shared" si="62"/>
        <v>#N/A</v>
      </c>
      <c r="D290" s="114">
        <f t="shared" si="66"/>
        <v>0</v>
      </c>
      <c r="E290" s="114" t="e">
        <f t="shared" si="75"/>
        <v>#N/A</v>
      </c>
      <c r="F290" s="108" t="e">
        <f t="shared" si="67"/>
        <v>#N/A</v>
      </c>
      <c r="G290" s="114">
        <f t="shared" si="68"/>
        <v>0</v>
      </c>
      <c r="H290" s="110">
        <v>290</v>
      </c>
      <c r="I290" s="115">
        <v>0.0111</v>
      </c>
      <c r="J290" s="116">
        <v>0.0143</v>
      </c>
      <c r="K290" s="115">
        <v>0</v>
      </c>
      <c r="L290" s="116">
        <v>0.0148</v>
      </c>
      <c r="M290" s="117">
        <v>0.0052</v>
      </c>
      <c r="N290" s="118">
        <f>IF(A290&gt;Dados!$C$16,0,IF(A290=Dados!$C$16,1,SUMIF($A$3:$A$500,CONCATENATE("&gt;",TEXT(DATEVALUE(TEXT(A290,"dd/mm/aaaa")),0)),$M$3:$M$500)-SUMIF($A$3:$A$500,CONCATENATE("&gt;",TEXT(Dados!$C$16-1,0)),$M$3:$M$500)+1%))</f>
        <v>0</v>
      </c>
      <c r="O290" s="119">
        <v>0.003715</v>
      </c>
      <c r="P290" s="120">
        <f t="shared" si="63"/>
        <v>0.067773</v>
      </c>
      <c r="Q290" s="119">
        <v>0.003715</v>
      </c>
      <c r="R290" s="120">
        <f t="shared" si="64"/>
        <v>0.067773</v>
      </c>
      <c r="S290" s="119">
        <v>0.003715</v>
      </c>
      <c r="T290" s="120">
        <f t="shared" si="65"/>
        <v>0.067773</v>
      </c>
      <c r="AC290" s="3">
        <v>1</v>
      </c>
      <c r="AG290" s="121">
        <f t="shared" si="69"/>
        <v>43252</v>
      </c>
      <c r="AH290" s="121">
        <f t="shared" si="70"/>
        <v>43252</v>
      </c>
      <c r="AI290" s="121">
        <f t="shared" si="71"/>
        <v>43252</v>
      </c>
      <c r="AJ290" s="121">
        <f t="shared" si="72"/>
        <v>43252</v>
      </c>
      <c r="AK290" s="121">
        <f t="shared" si="73"/>
        <v>43252</v>
      </c>
    </row>
    <row r="291" spans="1:37" ht="15">
      <c r="A291" s="113">
        <v>43282</v>
      </c>
      <c r="B291" s="113" t="e">
        <f t="shared" si="74"/>
        <v>#N/A</v>
      </c>
      <c r="C291" s="108" t="e">
        <f t="shared" si="62"/>
        <v>#N/A</v>
      </c>
      <c r="D291" s="114">
        <f t="shared" si="66"/>
        <v>0</v>
      </c>
      <c r="E291" s="114" t="e">
        <f t="shared" si="75"/>
        <v>#N/A</v>
      </c>
      <c r="F291" s="108" t="e">
        <f t="shared" si="67"/>
        <v>#N/A</v>
      </c>
      <c r="G291" s="114">
        <f t="shared" si="68"/>
        <v>0</v>
      </c>
      <c r="H291" s="110">
        <v>291</v>
      </c>
      <c r="I291" s="115">
        <v>0.0064</v>
      </c>
      <c r="J291" s="116">
        <v>0.0025</v>
      </c>
      <c r="K291" s="115">
        <v>0</v>
      </c>
      <c r="L291" s="116">
        <v>0.0044</v>
      </c>
      <c r="M291" s="117">
        <v>0.0054</v>
      </c>
      <c r="N291" s="118">
        <f>IF(A291&gt;Dados!$C$16,0,IF(A291=Dados!$C$16,1,SUMIF($A$3:$A$500,CONCATENATE("&gt;",TEXT(DATEVALUE(TEXT(A291,"dd/mm/aaaa")),0)),$M$3:$M$500)-SUMIF($A$3:$A$500,CONCATENATE("&gt;",TEXT(Dados!$C$16-1,0)),$M$3:$M$500)+1%))</f>
        <v>0</v>
      </c>
      <c r="O291" s="119">
        <v>0.003715</v>
      </c>
      <c r="P291" s="120">
        <f t="shared" si="63"/>
        <v>0.064058</v>
      </c>
      <c r="Q291" s="119">
        <v>0.003715</v>
      </c>
      <c r="R291" s="120">
        <f t="shared" si="64"/>
        <v>0.064058</v>
      </c>
      <c r="S291" s="119">
        <v>0.003715</v>
      </c>
      <c r="T291" s="120">
        <f t="shared" si="65"/>
        <v>0.064058</v>
      </c>
      <c r="AC291" s="3">
        <v>1</v>
      </c>
      <c r="AG291" s="121">
        <f t="shared" si="69"/>
        <v>43282</v>
      </c>
      <c r="AH291" s="121">
        <f t="shared" si="70"/>
        <v>43282</v>
      </c>
      <c r="AI291" s="121">
        <f t="shared" si="71"/>
        <v>43282</v>
      </c>
      <c r="AJ291" s="121">
        <f t="shared" si="72"/>
        <v>43282</v>
      </c>
      <c r="AK291" s="121">
        <f t="shared" si="73"/>
        <v>43282</v>
      </c>
    </row>
    <row r="292" spans="1:37" ht="15">
      <c r="A292" s="113">
        <v>43313</v>
      </c>
      <c r="B292" s="113" t="e">
        <f t="shared" si="74"/>
        <v>#N/A</v>
      </c>
      <c r="C292" s="108" t="e">
        <f t="shared" si="62"/>
        <v>#N/A</v>
      </c>
      <c r="D292" s="114">
        <f t="shared" si="66"/>
        <v>0</v>
      </c>
      <c r="E292" s="114" t="e">
        <f t="shared" si="75"/>
        <v>#N/A</v>
      </c>
      <c r="F292" s="108" t="e">
        <f t="shared" si="67"/>
        <v>#N/A</v>
      </c>
      <c r="G292" s="114">
        <f t="shared" si="68"/>
        <v>0</v>
      </c>
      <c r="H292" s="110">
        <v>292</v>
      </c>
      <c r="I292" s="115">
        <v>0.0013</v>
      </c>
      <c r="J292" s="116">
        <v>0</v>
      </c>
      <c r="K292" s="115">
        <v>0</v>
      </c>
      <c r="L292" s="116">
        <v>0.0068</v>
      </c>
      <c r="M292" s="117">
        <v>0.0057</v>
      </c>
      <c r="N292" s="118">
        <f>IF(A292&gt;Dados!$C$16,0,IF(A292=Dados!$C$16,1,SUMIF($A$3:$A$500,CONCATENATE("&gt;",TEXT(DATEVALUE(TEXT(A292,"dd/mm/aaaa")),0)),$M$3:$M$500)-SUMIF($A$3:$A$500,CONCATENATE("&gt;",TEXT(Dados!$C$16-1,0)),$M$3:$M$500)+1%))</f>
        <v>0</v>
      </c>
      <c r="O292" s="119">
        <v>0.003715</v>
      </c>
      <c r="P292" s="120">
        <f t="shared" si="63"/>
        <v>0.060343</v>
      </c>
      <c r="Q292" s="119">
        <v>0.003715</v>
      </c>
      <c r="R292" s="120">
        <f t="shared" si="64"/>
        <v>0.060343</v>
      </c>
      <c r="S292" s="119">
        <v>0.003715</v>
      </c>
      <c r="T292" s="120">
        <f t="shared" si="65"/>
        <v>0.060343</v>
      </c>
      <c r="AB292" s="104">
        <v>1</v>
      </c>
      <c r="AC292" s="3">
        <v>1</v>
      </c>
      <c r="AG292" s="121">
        <f t="shared" si="69"/>
        <v>43313</v>
      </c>
      <c r="AH292" s="121">
        <f t="shared" si="70"/>
        <v>43313</v>
      </c>
      <c r="AI292" s="121">
        <f t="shared" si="71"/>
        <v>43313</v>
      </c>
      <c r="AJ292" s="121">
        <f t="shared" si="72"/>
        <v>43313</v>
      </c>
      <c r="AK292" s="121">
        <f t="shared" si="73"/>
        <v>43313</v>
      </c>
    </row>
    <row r="293" spans="1:37" ht="15">
      <c r="A293" s="113">
        <v>43344</v>
      </c>
      <c r="B293" s="113" t="e">
        <f t="shared" si="74"/>
        <v>#N/A</v>
      </c>
      <c r="C293" s="108" t="e">
        <f t="shared" si="62"/>
        <v>#N/A</v>
      </c>
      <c r="D293" s="114">
        <f t="shared" si="66"/>
        <v>0</v>
      </c>
      <c r="E293" s="114" t="e">
        <f t="shared" si="75"/>
        <v>#N/A</v>
      </c>
      <c r="F293" s="108" t="e">
        <f t="shared" si="67"/>
        <v>#N/A</v>
      </c>
      <c r="G293" s="114">
        <f t="shared" si="68"/>
        <v>0</v>
      </c>
      <c r="H293" s="110">
        <v>293</v>
      </c>
      <c r="I293" s="115">
        <v>0.0009</v>
      </c>
      <c r="J293" s="116">
        <v>0.003</v>
      </c>
      <c r="K293" s="115">
        <v>0</v>
      </c>
      <c r="L293" s="116">
        <v>0.0179</v>
      </c>
      <c r="M293" s="117">
        <v>0.0047</v>
      </c>
      <c r="N293" s="118">
        <f>IF(A293&gt;Dados!$C$16,0,IF(A293=Dados!$C$16,1,SUMIF($A$3:$A$500,CONCATENATE("&gt;",TEXT(DATEVALUE(TEXT(A293,"dd/mm/aaaa")),0)),$M$3:$M$500)-SUMIF($A$3:$A$500,CONCATENATE("&gt;",TEXT(Dados!$C$16-1,0)),$M$3:$M$500)+1%))</f>
        <v>0</v>
      </c>
      <c r="O293" s="119">
        <v>0.003715</v>
      </c>
      <c r="P293" s="120">
        <f t="shared" si="63"/>
        <v>0.056628</v>
      </c>
      <c r="Q293" s="119">
        <v>0.003715</v>
      </c>
      <c r="R293" s="120">
        <f t="shared" si="64"/>
        <v>0.056628</v>
      </c>
      <c r="S293" s="119">
        <v>0.003715</v>
      </c>
      <c r="T293" s="120">
        <f t="shared" si="65"/>
        <v>0.056628</v>
      </c>
      <c r="AC293" s="3">
        <v>1</v>
      </c>
      <c r="AG293" s="121">
        <f t="shared" si="69"/>
        <v>43344</v>
      </c>
      <c r="AH293" s="121">
        <f t="shared" si="70"/>
        <v>43344</v>
      </c>
      <c r="AI293" s="121">
        <f t="shared" si="71"/>
        <v>43344</v>
      </c>
      <c r="AJ293" s="121">
        <f t="shared" si="72"/>
        <v>43344</v>
      </c>
      <c r="AK293" s="121">
        <f t="shared" si="73"/>
        <v>43344</v>
      </c>
    </row>
    <row r="294" spans="1:37" ht="15">
      <c r="A294" s="113">
        <v>43374</v>
      </c>
      <c r="B294" s="113" t="e">
        <f t="shared" si="74"/>
        <v>#N/A</v>
      </c>
      <c r="C294" s="108" t="e">
        <f t="shared" si="62"/>
        <v>#N/A</v>
      </c>
      <c r="D294" s="114">
        <f t="shared" si="66"/>
        <v>0</v>
      </c>
      <c r="E294" s="114" t="e">
        <f t="shared" si="75"/>
        <v>#N/A</v>
      </c>
      <c r="F294" s="108" t="e">
        <f t="shared" si="67"/>
        <v>#N/A</v>
      </c>
      <c r="G294" s="114">
        <f t="shared" si="68"/>
        <v>0</v>
      </c>
      <c r="H294" s="110">
        <v>294</v>
      </c>
      <c r="I294" s="115">
        <v>0.0058</v>
      </c>
      <c r="J294" s="116">
        <v>0.004</v>
      </c>
      <c r="K294" s="115">
        <v>0</v>
      </c>
      <c r="L294" s="116">
        <v>0.0026</v>
      </c>
      <c r="M294" s="117">
        <v>0.0054</v>
      </c>
      <c r="N294" s="118">
        <f>IF(A294&gt;Dados!$C$16,0,IF(A294=Dados!$C$16,1,SUMIF($A$3:$A$500,CONCATENATE("&gt;",TEXT(DATEVALUE(TEXT(A294,"dd/mm/aaaa")),0)),$M$3:$M$500)-SUMIF($A$3:$A$500,CONCATENATE("&gt;",TEXT(Dados!$C$16-1,0)),$M$3:$M$500)+1%))</f>
        <v>0</v>
      </c>
      <c r="O294" s="119">
        <v>0.003715</v>
      </c>
      <c r="P294" s="120">
        <f t="shared" si="63"/>
        <v>0.052913</v>
      </c>
      <c r="Q294" s="119">
        <v>0.003715</v>
      </c>
      <c r="R294" s="120">
        <f t="shared" si="64"/>
        <v>0.052913</v>
      </c>
      <c r="S294" s="119">
        <v>0.003715</v>
      </c>
      <c r="T294" s="120">
        <f t="shared" si="65"/>
        <v>0.052913</v>
      </c>
      <c r="AC294" s="3">
        <v>1</v>
      </c>
      <c r="AG294" s="121">
        <f t="shared" si="69"/>
        <v>43374</v>
      </c>
      <c r="AH294" s="121">
        <f t="shared" si="70"/>
        <v>43374</v>
      </c>
      <c r="AI294" s="121">
        <f t="shared" si="71"/>
        <v>43374</v>
      </c>
      <c r="AJ294" s="121">
        <f t="shared" si="72"/>
        <v>43374</v>
      </c>
      <c r="AK294" s="121">
        <f t="shared" si="73"/>
        <v>43374</v>
      </c>
    </row>
    <row r="295" spans="1:37" ht="15">
      <c r="A295" s="113">
        <v>43405</v>
      </c>
      <c r="B295" s="113" t="e">
        <f t="shared" si="74"/>
        <v>#N/A</v>
      </c>
      <c r="C295" s="108" t="e">
        <f t="shared" si="62"/>
        <v>#N/A</v>
      </c>
      <c r="D295" s="114">
        <f t="shared" si="66"/>
        <v>0</v>
      </c>
      <c r="E295" s="114" t="e">
        <f t="shared" si="75"/>
        <v>#N/A</v>
      </c>
      <c r="F295" s="108" t="e">
        <f t="shared" si="67"/>
        <v>#N/A</v>
      </c>
      <c r="G295" s="114">
        <f t="shared" si="68"/>
        <v>0</v>
      </c>
      <c r="H295" s="110">
        <v>295</v>
      </c>
      <c r="I295" s="115">
        <v>0.0019</v>
      </c>
      <c r="J295" s="116">
        <v>-0.0025</v>
      </c>
      <c r="K295" s="115">
        <v>0</v>
      </c>
      <c r="L295" s="116">
        <v>-0.0114</v>
      </c>
      <c r="M295" s="117">
        <v>0.0049</v>
      </c>
      <c r="N295" s="118">
        <f>IF(A295&gt;Dados!$C$16,0,IF(A295=Dados!$C$16,1,SUMIF($A$3:$A$500,CONCATENATE("&gt;",TEXT(DATEVALUE(TEXT(A295,"dd/mm/aaaa")),0)),$M$3:$M$500)-SUMIF($A$3:$A$500,CONCATENATE("&gt;",TEXT(Dados!$C$16-1,0)),$M$3:$M$500)+1%))</f>
        <v>0</v>
      </c>
      <c r="O295" s="119">
        <v>0.003715</v>
      </c>
      <c r="P295" s="120">
        <f t="shared" si="63"/>
        <v>0.049198</v>
      </c>
      <c r="Q295" s="119">
        <v>0.003715</v>
      </c>
      <c r="R295" s="120">
        <f t="shared" si="64"/>
        <v>0.049198</v>
      </c>
      <c r="S295" s="119">
        <v>0.003715</v>
      </c>
      <c r="T295" s="120">
        <f t="shared" si="65"/>
        <v>0.049198</v>
      </c>
      <c r="AC295" s="3">
        <v>1</v>
      </c>
      <c r="AG295" s="121">
        <f t="shared" si="69"/>
        <v>43405</v>
      </c>
      <c r="AH295" s="121">
        <f t="shared" si="70"/>
        <v>43405</v>
      </c>
      <c r="AI295" s="121">
        <f t="shared" si="71"/>
        <v>43405</v>
      </c>
      <c r="AJ295" s="121">
        <f t="shared" si="72"/>
        <v>43405</v>
      </c>
      <c r="AK295" s="121">
        <f t="shared" si="73"/>
        <v>43405</v>
      </c>
    </row>
    <row r="296" spans="1:37" ht="15">
      <c r="A296" s="113">
        <v>43435</v>
      </c>
      <c r="B296" s="113" t="e">
        <f t="shared" si="74"/>
        <v>#N/A</v>
      </c>
      <c r="C296" s="108" t="e">
        <f t="shared" si="62"/>
        <v>#N/A</v>
      </c>
      <c r="D296" s="114">
        <f t="shared" si="66"/>
        <v>0</v>
      </c>
      <c r="E296" s="114" t="e">
        <f t="shared" si="75"/>
        <v>#N/A</v>
      </c>
      <c r="F296" s="108" t="e">
        <f t="shared" si="67"/>
        <v>#N/A</v>
      </c>
      <c r="G296" s="114">
        <f t="shared" si="68"/>
        <v>0</v>
      </c>
      <c r="H296" s="110">
        <v>296</v>
      </c>
      <c r="I296" s="115">
        <v>-0.0016</v>
      </c>
      <c r="J296" s="116">
        <v>0.0014</v>
      </c>
      <c r="K296" s="115">
        <v>0</v>
      </c>
      <c r="L296" s="116">
        <v>-0.0045</v>
      </c>
      <c r="M296" s="117">
        <v>0.0049</v>
      </c>
      <c r="N296" s="118">
        <f>IF(A296&gt;Dados!$C$16,0,IF(A296=Dados!$C$16,1,SUMIF($A$3:$A$500,CONCATENATE("&gt;",TEXT(DATEVALUE(TEXT(A296,"dd/mm/aaaa")),0)),$M$3:$M$500)-SUMIF($A$3:$A$500,CONCATENATE("&gt;",TEXT(Dados!$C$16-1,0)),$M$3:$M$500)+1%))</f>
        <v>0</v>
      </c>
      <c r="O296" s="119">
        <v>0.003715</v>
      </c>
      <c r="P296" s="120">
        <f t="shared" si="63"/>
        <v>0.045483</v>
      </c>
      <c r="Q296" s="119">
        <v>0.003715</v>
      </c>
      <c r="R296" s="120">
        <f t="shared" si="64"/>
        <v>0.045483</v>
      </c>
      <c r="S296" s="119">
        <v>0.003715</v>
      </c>
      <c r="T296" s="120">
        <f t="shared" si="65"/>
        <v>0.045483</v>
      </c>
      <c r="AC296" s="3">
        <v>1</v>
      </c>
      <c r="AG296" s="121">
        <f t="shared" si="69"/>
        <v>43435</v>
      </c>
      <c r="AH296" s="121">
        <f t="shared" si="70"/>
        <v>43435</v>
      </c>
      <c r="AI296" s="121">
        <f t="shared" si="71"/>
        <v>43435</v>
      </c>
      <c r="AJ296" s="121">
        <f t="shared" si="72"/>
        <v>43435</v>
      </c>
      <c r="AK296" s="121">
        <f t="shared" si="73"/>
        <v>43435</v>
      </c>
    </row>
    <row r="297" spans="1:37" ht="15">
      <c r="A297" s="113">
        <v>43466</v>
      </c>
      <c r="B297" s="113" t="e">
        <f t="shared" si="74"/>
        <v>#N/A</v>
      </c>
      <c r="C297" s="108" t="e">
        <f t="shared" si="62"/>
        <v>#N/A</v>
      </c>
      <c r="D297" s="114">
        <f t="shared" si="66"/>
        <v>0</v>
      </c>
      <c r="E297" s="114" t="e">
        <f t="shared" si="75"/>
        <v>#N/A</v>
      </c>
      <c r="F297" s="108" t="e">
        <f t="shared" si="67"/>
        <v>#N/A</v>
      </c>
      <c r="G297" s="114">
        <f t="shared" si="68"/>
        <v>0</v>
      </c>
      <c r="H297" s="110">
        <v>297</v>
      </c>
      <c r="I297" s="115">
        <v>0.003</v>
      </c>
      <c r="J297" s="116">
        <v>0.0036</v>
      </c>
      <c r="K297" s="115">
        <v>0</v>
      </c>
      <c r="L297" s="116">
        <v>0.0007</v>
      </c>
      <c r="M297" s="117">
        <v>0.0054</v>
      </c>
      <c r="N297" s="118">
        <f>IF(A297&gt;Dados!$C$16,0,IF(A297=Dados!$C$16,1,SUMIF($A$3:$A$500,CONCATENATE("&gt;",TEXT(DATEVALUE(TEXT(A297,"dd/mm/aaaa")),0)),$M$3:$M$500)-SUMIF($A$3:$A$500,CONCATENATE("&gt;",TEXT(Dados!$C$16-1,0)),$M$3:$M$500)+1%))</f>
        <v>0</v>
      </c>
      <c r="O297" s="119">
        <v>0.003715</v>
      </c>
      <c r="P297" s="120">
        <f t="shared" si="63"/>
        <v>0.041768</v>
      </c>
      <c r="Q297" s="119">
        <v>0.003715</v>
      </c>
      <c r="R297" s="120">
        <f t="shared" si="64"/>
        <v>0.041768</v>
      </c>
      <c r="S297" s="119">
        <v>0.003715</v>
      </c>
      <c r="T297" s="120">
        <f t="shared" si="65"/>
        <v>0.041768</v>
      </c>
      <c r="AC297" s="3">
        <v>1</v>
      </c>
      <c r="AG297" s="121">
        <f t="shared" si="69"/>
        <v>43466</v>
      </c>
      <c r="AH297" s="121">
        <f t="shared" si="70"/>
        <v>43466</v>
      </c>
      <c r="AI297" s="121">
        <f t="shared" si="71"/>
        <v>43466</v>
      </c>
      <c r="AJ297" s="121">
        <f t="shared" si="72"/>
        <v>43466</v>
      </c>
      <c r="AK297" s="121">
        <f t="shared" si="73"/>
        <v>43466</v>
      </c>
    </row>
    <row r="298" spans="1:37" ht="15">
      <c r="A298" s="113">
        <v>43497</v>
      </c>
      <c r="B298" s="113" t="e">
        <f t="shared" si="74"/>
        <v>#N/A</v>
      </c>
      <c r="C298" s="108" t="e">
        <f t="shared" si="62"/>
        <v>#N/A</v>
      </c>
      <c r="D298" s="114">
        <f t="shared" si="66"/>
        <v>0</v>
      </c>
      <c r="E298" s="114" t="e">
        <f t="shared" si="75"/>
        <v>#N/A</v>
      </c>
      <c r="F298" s="108" t="e">
        <f t="shared" si="67"/>
        <v>#N/A</v>
      </c>
      <c r="G298" s="114">
        <f t="shared" si="68"/>
        <v>0</v>
      </c>
      <c r="H298" s="110">
        <v>298</v>
      </c>
      <c r="I298" s="115">
        <v>0.0034</v>
      </c>
      <c r="J298" s="116">
        <v>0.0054</v>
      </c>
      <c r="K298" s="115">
        <v>0</v>
      </c>
      <c r="L298" s="116">
        <v>0.0125</v>
      </c>
      <c r="M298" s="117">
        <v>0.0049</v>
      </c>
      <c r="N298" s="118">
        <f>IF(A298&gt;Dados!$C$16,0,IF(A298=Dados!$C$16,1,SUMIF($A$3:$A$500,CONCATENATE("&gt;",TEXT(DATEVALUE(TEXT(A298,"dd/mm/aaaa")),0)),$M$3:$M$500)-SUMIF($A$3:$A$500,CONCATENATE("&gt;",TEXT(Dados!$C$16-1,0)),$M$3:$M$500)+1%))</f>
        <v>0</v>
      </c>
      <c r="O298" s="119">
        <v>0.003715</v>
      </c>
      <c r="P298" s="120">
        <f t="shared" si="63"/>
        <v>0.038053</v>
      </c>
      <c r="Q298" s="119">
        <v>0.003715</v>
      </c>
      <c r="R298" s="120">
        <f t="shared" si="64"/>
        <v>0.038053</v>
      </c>
      <c r="S298" s="119">
        <v>0.003715</v>
      </c>
      <c r="T298" s="120">
        <f t="shared" si="65"/>
        <v>0.038053</v>
      </c>
      <c r="AC298" s="3">
        <v>1</v>
      </c>
      <c r="AG298" s="121">
        <f t="shared" si="69"/>
        <v>43497</v>
      </c>
      <c r="AH298" s="121">
        <f t="shared" si="70"/>
        <v>43497</v>
      </c>
      <c r="AI298" s="121">
        <f t="shared" si="71"/>
        <v>43497</v>
      </c>
      <c r="AJ298" s="121">
        <f t="shared" si="72"/>
        <v>43497</v>
      </c>
      <c r="AK298" s="121">
        <f t="shared" si="73"/>
        <v>43497</v>
      </c>
    </row>
    <row r="299" spans="1:37" ht="15">
      <c r="A299" s="113">
        <v>43525</v>
      </c>
      <c r="B299" s="113" t="e">
        <f t="shared" si="74"/>
        <v>#N/A</v>
      </c>
      <c r="C299" s="108" t="e">
        <f t="shared" si="62"/>
        <v>#N/A</v>
      </c>
      <c r="D299" s="114">
        <f t="shared" si="66"/>
        <v>0</v>
      </c>
      <c r="E299" s="114" t="e">
        <f t="shared" si="75"/>
        <v>#N/A</v>
      </c>
      <c r="F299" s="108" t="e">
        <f t="shared" si="67"/>
        <v>#N/A</v>
      </c>
      <c r="G299" s="114">
        <f t="shared" si="68"/>
        <v>0</v>
      </c>
      <c r="H299" s="110">
        <v>299</v>
      </c>
      <c r="I299" s="115">
        <v>0.0054</v>
      </c>
      <c r="J299" s="116">
        <v>0.0077</v>
      </c>
      <c r="K299" s="115">
        <v>0</v>
      </c>
      <c r="L299" s="116">
        <v>0.0107</v>
      </c>
      <c r="M299" s="117">
        <v>0.0047</v>
      </c>
      <c r="N299" s="118">
        <f>IF(A299&gt;Dados!$C$16,0,IF(A299=Dados!$C$16,1,SUMIF($A$3:$A$500,CONCATENATE("&gt;",TEXT(DATEVALUE(TEXT(A299,"dd/mm/aaaa")),0)),$M$3:$M$500)-SUMIF($A$3:$A$500,CONCATENATE("&gt;",TEXT(Dados!$C$16-1,0)),$M$3:$M$500)+1%))</f>
        <v>0</v>
      </c>
      <c r="O299" s="119">
        <v>0.003715</v>
      </c>
      <c r="P299" s="120">
        <f t="shared" si="63"/>
        <v>0.034338</v>
      </c>
      <c r="Q299" s="119">
        <v>0.003715</v>
      </c>
      <c r="R299" s="120">
        <f t="shared" si="64"/>
        <v>0.034338</v>
      </c>
      <c r="S299" s="119">
        <v>0.003715</v>
      </c>
      <c r="T299" s="120">
        <f t="shared" si="65"/>
        <v>0.034338</v>
      </c>
      <c r="AC299" s="3">
        <v>1</v>
      </c>
      <c r="AG299" s="121">
        <f t="shared" si="69"/>
        <v>43525</v>
      </c>
      <c r="AH299" s="121">
        <f t="shared" si="70"/>
        <v>43525</v>
      </c>
      <c r="AI299" s="121">
        <f t="shared" si="71"/>
        <v>43525</v>
      </c>
      <c r="AJ299" s="121">
        <f t="shared" si="72"/>
        <v>43525</v>
      </c>
      <c r="AK299" s="121">
        <f t="shared" si="73"/>
        <v>43525</v>
      </c>
    </row>
    <row r="300" spans="1:37" ht="15">
      <c r="A300" s="113">
        <v>43556</v>
      </c>
      <c r="B300" s="113" t="e">
        <f t="shared" si="74"/>
        <v>#N/A</v>
      </c>
      <c r="C300" s="108" t="e">
        <f t="shared" si="62"/>
        <v>#N/A</v>
      </c>
      <c r="D300" s="114">
        <f t="shared" si="66"/>
        <v>0</v>
      </c>
      <c r="E300" s="114" t="e">
        <f t="shared" si="75"/>
        <v>#N/A</v>
      </c>
      <c r="F300" s="108" t="e">
        <f t="shared" si="67"/>
        <v>#N/A</v>
      </c>
      <c r="G300" s="114">
        <f t="shared" si="68"/>
        <v>0</v>
      </c>
      <c r="H300" s="110">
        <v>300</v>
      </c>
      <c r="I300" s="115">
        <v>0.0072</v>
      </c>
      <c r="J300" s="116">
        <v>0.006</v>
      </c>
      <c r="K300" s="115">
        <v>0</v>
      </c>
      <c r="L300" s="116">
        <v>0.009</v>
      </c>
      <c r="M300" s="117">
        <v>0.0052</v>
      </c>
      <c r="N300" s="118">
        <f>IF(A300&gt;Dados!$C$16,0,IF(A300=Dados!$C$16,1,SUMIF($A$3:$A$500,CONCATENATE("&gt;",TEXT(DATEVALUE(TEXT(A300,"dd/mm/aaaa")),0)),$M$3:$M$500)-SUMIF($A$3:$A$500,CONCATENATE("&gt;",TEXT(Dados!$C$16-1,0)),$M$3:$M$500)+1%))</f>
        <v>0</v>
      </c>
      <c r="O300" s="119">
        <v>0.003715</v>
      </c>
      <c r="P300" s="120">
        <f t="shared" si="63"/>
        <v>0.030623</v>
      </c>
      <c r="Q300" s="119">
        <v>0.003715</v>
      </c>
      <c r="R300" s="120">
        <f t="shared" si="64"/>
        <v>0.030623</v>
      </c>
      <c r="S300" s="119">
        <v>0.003715</v>
      </c>
      <c r="T300" s="120">
        <f t="shared" si="65"/>
        <v>0.030623</v>
      </c>
      <c r="AC300" s="3">
        <v>1</v>
      </c>
      <c r="AG300" s="121">
        <f t="shared" si="69"/>
        <v>43556</v>
      </c>
      <c r="AH300" s="121">
        <f t="shared" si="70"/>
        <v>43556</v>
      </c>
      <c r="AI300" s="121">
        <f t="shared" si="71"/>
        <v>43556</v>
      </c>
      <c r="AJ300" s="121">
        <f t="shared" si="72"/>
        <v>43556</v>
      </c>
      <c r="AK300" s="121">
        <f t="shared" si="73"/>
        <v>43556</v>
      </c>
    </row>
    <row r="301" spans="1:37" ht="15">
      <c r="A301" s="113">
        <v>43586</v>
      </c>
      <c r="B301" s="113" t="e">
        <f t="shared" si="74"/>
        <v>#N/A</v>
      </c>
      <c r="C301" s="108" t="e">
        <f t="shared" si="62"/>
        <v>#N/A</v>
      </c>
      <c r="D301" s="114">
        <f t="shared" si="66"/>
        <v>0</v>
      </c>
      <c r="E301" s="114" t="e">
        <f t="shared" si="75"/>
        <v>#N/A</v>
      </c>
      <c r="F301" s="108" t="e">
        <f t="shared" si="67"/>
        <v>#N/A</v>
      </c>
      <c r="G301" s="114">
        <f t="shared" si="68"/>
        <v>0</v>
      </c>
      <c r="H301" s="110">
        <v>301</v>
      </c>
      <c r="I301" s="115">
        <v>0.0035</v>
      </c>
      <c r="J301" s="116">
        <v>0.0015</v>
      </c>
      <c r="K301" s="115">
        <v>0</v>
      </c>
      <c r="L301" s="116">
        <v>0.004</v>
      </c>
      <c r="M301" s="117">
        <v>0.0054</v>
      </c>
      <c r="N301" s="118">
        <f>IF(A301&gt;Dados!$C$16,0,IF(A301=Dados!$C$16,1,SUMIF($A$3:$A$500,CONCATENATE("&gt;",TEXT(DATEVALUE(TEXT(A301,"dd/mm/aaaa")),0)),$M$3:$M$500)-SUMIF($A$3:$A$500,CONCATENATE("&gt;",TEXT(Dados!$C$16-1,0)),$M$3:$M$500)+1%))</f>
        <v>0</v>
      </c>
      <c r="O301" s="119">
        <v>0.003715</v>
      </c>
      <c r="P301" s="120">
        <f t="shared" si="63"/>
        <v>0.026908</v>
      </c>
      <c r="Q301" s="119">
        <v>0.003715</v>
      </c>
      <c r="R301" s="120">
        <f t="shared" si="64"/>
        <v>0.026908</v>
      </c>
      <c r="S301" s="119">
        <v>0.003715</v>
      </c>
      <c r="T301" s="120">
        <f t="shared" si="65"/>
        <v>0.026908</v>
      </c>
      <c r="AC301" s="3">
        <v>1</v>
      </c>
      <c r="AG301" s="121">
        <f t="shared" si="69"/>
        <v>43586</v>
      </c>
      <c r="AH301" s="121">
        <f t="shared" si="70"/>
        <v>43586</v>
      </c>
      <c r="AI301" s="121">
        <f t="shared" si="71"/>
        <v>43586</v>
      </c>
      <c r="AJ301" s="121">
        <f t="shared" si="72"/>
        <v>43586</v>
      </c>
      <c r="AK301" s="121">
        <f t="shared" si="73"/>
        <v>43586</v>
      </c>
    </row>
    <row r="302" spans="1:37" ht="15">
      <c r="A302" s="113">
        <v>43617</v>
      </c>
      <c r="B302" s="113" t="e">
        <f t="shared" si="74"/>
        <v>#N/A</v>
      </c>
      <c r="C302" s="108" t="e">
        <f t="shared" si="62"/>
        <v>#N/A</v>
      </c>
      <c r="D302" s="114">
        <f t="shared" si="66"/>
        <v>0</v>
      </c>
      <c r="E302" s="114" t="e">
        <f t="shared" si="75"/>
        <v>#N/A</v>
      </c>
      <c r="F302" s="108" t="e">
        <f t="shared" si="67"/>
        <v>#N/A</v>
      </c>
      <c r="G302" s="114">
        <f t="shared" si="68"/>
        <v>0</v>
      </c>
      <c r="H302" s="110">
        <v>302</v>
      </c>
      <c r="I302" s="115">
        <v>0.0006</v>
      </c>
      <c r="J302" s="116">
        <v>0.0001</v>
      </c>
      <c r="K302" s="115">
        <v>0</v>
      </c>
      <c r="L302" s="116">
        <v>0.0063</v>
      </c>
      <c r="M302" s="117">
        <v>0.0047</v>
      </c>
      <c r="N302" s="118">
        <f>IF(A302&gt;Dados!$C$16,0,IF(A302=Dados!$C$16,1,SUMIF($A$3:$A$500,CONCATENATE("&gt;",TEXT(DATEVALUE(TEXT(A302,"dd/mm/aaaa")),0)),$M$3:$M$500)-SUMIF($A$3:$A$500,CONCATENATE("&gt;",TEXT(Dados!$C$16-1,0)),$M$3:$M$500)+1%))</f>
        <v>0</v>
      </c>
      <c r="O302" s="119">
        <v>0.003715</v>
      </c>
      <c r="P302" s="120">
        <f t="shared" si="63"/>
        <v>0.023193</v>
      </c>
      <c r="Q302" s="119">
        <v>0.003715</v>
      </c>
      <c r="R302" s="120">
        <f t="shared" si="64"/>
        <v>0.023193</v>
      </c>
      <c r="S302" s="119">
        <v>0.003715</v>
      </c>
      <c r="T302" s="120">
        <f t="shared" si="65"/>
        <v>0.023193</v>
      </c>
      <c r="AC302" s="3">
        <v>1</v>
      </c>
      <c r="AG302" s="121">
        <f t="shared" si="69"/>
        <v>43617</v>
      </c>
      <c r="AH302" s="121">
        <f t="shared" si="70"/>
        <v>43617</v>
      </c>
      <c r="AI302" s="121">
        <f t="shared" si="71"/>
        <v>43617</v>
      </c>
      <c r="AJ302" s="121">
        <f t="shared" si="72"/>
        <v>43617</v>
      </c>
      <c r="AK302" s="121">
        <f t="shared" si="73"/>
        <v>43617</v>
      </c>
    </row>
    <row r="303" spans="1:37" ht="15">
      <c r="A303" s="113">
        <v>43647</v>
      </c>
      <c r="B303" s="113" t="e">
        <f t="shared" si="74"/>
        <v>#N/A</v>
      </c>
      <c r="C303" s="108" t="e">
        <f t="shared" si="62"/>
        <v>#N/A</v>
      </c>
      <c r="D303" s="114">
        <f t="shared" si="66"/>
        <v>0</v>
      </c>
      <c r="E303" s="114" t="e">
        <f t="shared" si="75"/>
        <v>#N/A</v>
      </c>
      <c r="F303" s="108" t="e">
        <f t="shared" si="67"/>
        <v>#N/A</v>
      </c>
      <c r="G303" s="114">
        <f t="shared" si="68"/>
        <v>0</v>
      </c>
      <c r="H303" s="110">
        <v>303</v>
      </c>
      <c r="I303" s="115">
        <v>0.0009</v>
      </c>
      <c r="J303" s="116">
        <v>0.001</v>
      </c>
      <c r="K303" s="115">
        <v>0</v>
      </c>
      <c r="L303" s="116">
        <v>-0.0001</v>
      </c>
      <c r="M303" s="117">
        <v>0.0057</v>
      </c>
      <c r="N303" s="118">
        <f>IF(A303&gt;Dados!$C$16,0,IF(A303=Dados!$C$16,1,SUMIF($A$3:$A$500,CONCATENATE("&gt;",TEXT(DATEVALUE(TEXT(A303,"dd/mm/aaaa")),0)),$M$3:$M$500)-SUMIF($A$3:$A$500,CONCATENATE("&gt;",TEXT(Dados!$C$16-1,0)),$M$3:$M$500)+1%))</f>
        <v>0</v>
      </c>
      <c r="O303" s="119">
        <v>0.003715</v>
      </c>
      <c r="P303" s="120">
        <f t="shared" si="63"/>
        <v>0.019478</v>
      </c>
      <c r="Q303" s="119">
        <v>0.003715</v>
      </c>
      <c r="R303" s="120">
        <f t="shared" si="64"/>
        <v>0.019478</v>
      </c>
      <c r="S303" s="119">
        <v>0.003715</v>
      </c>
      <c r="T303" s="120">
        <f t="shared" si="65"/>
        <v>0.019478</v>
      </c>
      <c r="AC303" s="3">
        <v>1</v>
      </c>
      <c r="AG303" s="121">
        <f t="shared" si="69"/>
        <v>43647</v>
      </c>
      <c r="AH303" s="121">
        <f t="shared" si="70"/>
        <v>43647</v>
      </c>
      <c r="AI303" s="121">
        <f t="shared" si="71"/>
        <v>43647</v>
      </c>
      <c r="AJ303" s="121">
        <f t="shared" si="72"/>
        <v>43647</v>
      </c>
      <c r="AK303" s="121">
        <f t="shared" si="73"/>
        <v>43647</v>
      </c>
    </row>
    <row r="304" spans="1:37" ht="15">
      <c r="A304" s="113">
        <v>43678</v>
      </c>
      <c r="B304" s="113" t="e">
        <f t="shared" si="74"/>
        <v>#N/A</v>
      </c>
      <c r="C304" s="108" t="e">
        <f t="shared" si="62"/>
        <v>#N/A</v>
      </c>
      <c r="D304" s="114">
        <f t="shared" si="66"/>
        <v>0</v>
      </c>
      <c r="E304" s="114" t="e">
        <f t="shared" si="75"/>
        <v>#N/A</v>
      </c>
      <c r="F304" s="108" t="e">
        <f t="shared" si="67"/>
        <v>#N/A</v>
      </c>
      <c r="G304" s="114">
        <f t="shared" si="68"/>
        <v>0</v>
      </c>
      <c r="H304" s="110">
        <v>304</v>
      </c>
      <c r="I304" s="115">
        <v>0.0008</v>
      </c>
      <c r="J304" s="116">
        <v>0.0012</v>
      </c>
      <c r="K304" s="115">
        <v>0</v>
      </c>
      <c r="L304" s="116">
        <v>-0.0051</v>
      </c>
      <c r="M304" s="117">
        <v>0.005</v>
      </c>
      <c r="N304" s="118">
        <f>IF(A304&gt;Dados!$C$16,0,IF(A304=Dados!$C$16,1,SUMIF($A$3:$A$500,CONCATENATE("&gt;",TEXT(DATEVALUE(TEXT(A304,"dd/mm/aaaa")),0)),$M$3:$M$500)-SUMIF($A$3:$A$500,CONCATENATE("&gt;",TEXT(Dados!$C$16-1,0)),$M$3:$M$500)+1%))</f>
        <v>0</v>
      </c>
      <c r="O304" s="119">
        <v>0.003715</v>
      </c>
      <c r="P304" s="120">
        <f t="shared" si="63"/>
        <v>0.015763</v>
      </c>
      <c r="Q304" s="119">
        <v>0.003715</v>
      </c>
      <c r="R304" s="120">
        <f t="shared" si="64"/>
        <v>0.015763</v>
      </c>
      <c r="S304" s="119">
        <v>0.003715</v>
      </c>
      <c r="T304" s="120">
        <f t="shared" si="65"/>
        <v>0.015763</v>
      </c>
      <c r="AC304" s="3">
        <v>1</v>
      </c>
      <c r="AG304" s="121">
        <f t="shared" si="69"/>
        <v>43678</v>
      </c>
      <c r="AH304" s="121">
        <f t="shared" si="70"/>
        <v>43678</v>
      </c>
      <c r="AI304" s="121">
        <f t="shared" si="71"/>
        <v>43678</v>
      </c>
      <c r="AJ304" s="121">
        <f t="shared" si="72"/>
        <v>43678</v>
      </c>
      <c r="AK304" s="121">
        <f t="shared" si="73"/>
        <v>43678</v>
      </c>
    </row>
    <row r="305" spans="1:37" ht="15">
      <c r="A305" s="113">
        <v>43709</v>
      </c>
      <c r="B305" s="113" t="e">
        <f t="shared" si="74"/>
        <v>#N/A</v>
      </c>
      <c r="C305" s="108" t="e">
        <f t="shared" si="62"/>
        <v>#N/A</v>
      </c>
      <c r="D305" s="114">
        <f t="shared" si="66"/>
        <v>0</v>
      </c>
      <c r="E305" s="114" t="e">
        <f t="shared" si="75"/>
        <v>#N/A</v>
      </c>
      <c r="F305" s="108" t="e">
        <f t="shared" si="67"/>
        <v>#N/A</v>
      </c>
      <c r="G305" s="114">
        <f t="shared" si="68"/>
        <v>0</v>
      </c>
      <c r="H305" s="110">
        <v>305</v>
      </c>
      <c r="I305" s="115">
        <v>0.0009</v>
      </c>
      <c r="J305" s="116">
        <v>-0.0005</v>
      </c>
      <c r="K305" s="115">
        <v>0</v>
      </c>
      <c r="L305" s="116">
        <v>0.005</v>
      </c>
      <c r="M305" s="117">
        <v>0.0046</v>
      </c>
      <c r="N305" s="118">
        <f>IF(A305&gt;Dados!$C$16,0,IF(A305=Dados!$C$16,1,SUMIF($A$3:$A$500,CONCATENATE("&gt;",TEXT(DATEVALUE(TEXT(A305,"dd/mm/aaaa")),0)),$M$3:$M$500)-SUMIF($A$3:$A$500,CONCATENATE("&gt;",TEXT(Dados!$C$16-1,0)),$M$3:$M$500)+1%))</f>
        <v>0</v>
      </c>
      <c r="O305" s="119">
        <v>0.003434</v>
      </c>
      <c r="P305" s="120">
        <f t="shared" si="63"/>
        <v>0.012329</v>
      </c>
      <c r="Q305" s="119">
        <f>O305</f>
        <v>0.003434</v>
      </c>
      <c r="R305" s="120">
        <f t="shared" si="64"/>
        <v>0.012329</v>
      </c>
      <c r="S305" s="119">
        <f>O305</f>
        <v>0.003434</v>
      </c>
      <c r="T305" s="120">
        <f t="shared" si="65"/>
        <v>0.012329</v>
      </c>
      <c r="AC305" s="104">
        <v>1</v>
      </c>
      <c r="AG305" s="121">
        <f t="shared" si="69"/>
        <v>43709</v>
      </c>
      <c r="AH305" s="121">
        <f t="shared" si="70"/>
        <v>43709</v>
      </c>
      <c r="AI305" s="121">
        <f t="shared" si="71"/>
        <v>43709</v>
      </c>
      <c r="AJ305" s="121">
        <f t="shared" si="72"/>
        <v>43709</v>
      </c>
      <c r="AK305" s="121">
        <f t="shared" si="73"/>
        <v>43709</v>
      </c>
    </row>
    <row r="306" spans="1:37" ht="15">
      <c r="A306" s="113">
        <v>43739</v>
      </c>
      <c r="B306" s="113" t="e">
        <f t="shared" si="74"/>
        <v>#N/A</v>
      </c>
      <c r="C306" s="108" t="e">
        <f t="shared" si="62"/>
        <v>#N/A</v>
      </c>
      <c r="D306" s="114">
        <f t="shared" si="66"/>
        <v>0</v>
      </c>
      <c r="E306" s="114" t="e">
        <f t="shared" si="75"/>
        <v>#N/A</v>
      </c>
      <c r="F306" s="108" t="e">
        <f t="shared" si="67"/>
        <v>#N/A</v>
      </c>
      <c r="G306" s="114">
        <f t="shared" si="68"/>
        <v>0</v>
      </c>
      <c r="H306" s="110">
        <v>306</v>
      </c>
      <c r="I306" s="115">
        <v>0.0009</v>
      </c>
      <c r="J306" s="116">
        <v>0.0004</v>
      </c>
      <c r="K306" s="115">
        <v>0</v>
      </c>
      <c r="L306" s="116">
        <v>0.0055</v>
      </c>
      <c r="M306" s="117">
        <v>0.0048</v>
      </c>
      <c r="N306" s="118">
        <f>IF(A306&gt;Dados!$C$16,0,IF(A306=Dados!$C$16,1,SUMIF($A$3:$A$500,CONCATENATE("&gt;",TEXT(DATEVALUE(TEXT(A306,"dd/mm/aaaa")),0)),$M$3:$M$500)-SUMIF($A$3:$A$500,CONCATENATE("&gt;",TEXT(Dados!$C$16-1,0)),$M$3:$M$500)+1%))</f>
        <v>0</v>
      </c>
      <c r="O306" s="119">
        <v>0.003434</v>
      </c>
      <c r="P306" s="120">
        <f t="shared" si="63"/>
        <v>0.008895</v>
      </c>
      <c r="Q306" s="119">
        <f>O306</f>
        <v>0.003434</v>
      </c>
      <c r="R306" s="120">
        <f t="shared" si="64"/>
        <v>0.008895</v>
      </c>
      <c r="S306" s="119">
        <f>O306</f>
        <v>0.003434</v>
      </c>
      <c r="T306" s="120">
        <f t="shared" si="65"/>
        <v>0.008895</v>
      </c>
      <c r="AC306" s="104">
        <v>1</v>
      </c>
      <c r="AG306" s="121">
        <f t="shared" si="69"/>
        <v>43739</v>
      </c>
      <c r="AH306" s="121">
        <f t="shared" si="70"/>
        <v>43739</v>
      </c>
      <c r="AI306" s="121">
        <f t="shared" si="71"/>
        <v>43739</v>
      </c>
      <c r="AJ306" s="121">
        <f t="shared" si="72"/>
        <v>43739</v>
      </c>
      <c r="AK306" s="121">
        <f t="shared" si="73"/>
        <v>43739</v>
      </c>
    </row>
    <row r="307" spans="1:37" ht="15">
      <c r="A307" s="113">
        <v>43770</v>
      </c>
      <c r="B307" s="113" t="e">
        <f t="shared" si="74"/>
        <v>#N/A</v>
      </c>
      <c r="C307" s="108" t="e">
        <f t="shared" si="62"/>
        <v>#N/A</v>
      </c>
      <c r="D307" s="114">
        <f t="shared" si="66"/>
        <v>0</v>
      </c>
      <c r="E307" s="114" t="e">
        <f t="shared" si="75"/>
        <v>#N/A</v>
      </c>
      <c r="F307" s="108" t="e">
        <f t="shared" si="67"/>
        <v>#N/A</v>
      </c>
      <c r="G307" s="114">
        <f t="shared" si="68"/>
        <v>0</v>
      </c>
      <c r="H307" s="110">
        <v>307</v>
      </c>
      <c r="I307" s="115">
        <v>0.0014</v>
      </c>
      <c r="J307" s="116">
        <v>0.0054</v>
      </c>
      <c r="K307" s="115">
        <v>0</v>
      </c>
      <c r="L307" s="116">
        <v>0.0085</v>
      </c>
      <c r="M307" s="117">
        <v>0.0038</v>
      </c>
      <c r="N307" s="118">
        <f>IF(A307&gt;Dados!$C$16,0,IF(A307=Dados!$C$16,1,SUMIF($A$3:$A$500,CONCATENATE("&gt;",TEXT(DATEVALUE(TEXT(A307,"dd/mm/aaaa")),0)),$M$3:$M$500)-SUMIF($A$3:$A$500,CONCATENATE("&gt;",TEXT(Dados!$C$16-1,0)),$M$3:$M$500)+1%))</f>
        <v>0</v>
      </c>
      <c r="O307" s="119">
        <v>0.003153</v>
      </c>
      <c r="P307" s="120">
        <f t="shared" si="63"/>
        <v>0.005742</v>
      </c>
      <c r="Q307" s="119">
        <f>O307</f>
        <v>0.003153</v>
      </c>
      <c r="R307" s="120">
        <f t="shared" si="64"/>
        <v>0.005742</v>
      </c>
      <c r="S307" s="119">
        <f>O307</f>
        <v>0.003153</v>
      </c>
      <c r="T307" s="120">
        <f t="shared" si="65"/>
        <v>0.005742</v>
      </c>
      <c r="AC307" s="104">
        <v>1</v>
      </c>
      <c r="AG307" s="121">
        <f t="shared" si="69"/>
        <v>43770</v>
      </c>
      <c r="AH307" s="121">
        <f t="shared" si="70"/>
        <v>43770</v>
      </c>
      <c r="AI307" s="121">
        <f t="shared" si="71"/>
        <v>43770</v>
      </c>
      <c r="AJ307" s="121">
        <f t="shared" si="72"/>
        <v>43770</v>
      </c>
      <c r="AK307" s="121">
        <f t="shared" si="73"/>
        <v>43770</v>
      </c>
    </row>
    <row r="308" spans="1:37" ht="15">
      <c r="A308" s="113">
        <v>43800</v>
      </c>
      <c r="B308" s="113" t="e">
        <f t="shared" si="74"/>
        <v>#N/A</v>
      </c>
      <c r="C308" s="108" t="e">
        <f t="shared" si="62"/>
        <v>#N/A</v>
      </c>
      <c r="D308" s="114">
        <f t="shared" si="66"/>
        <v>0</v>
      </c>
      <c r="E308" s="114" t="e">
        <f t="shared" si="75"/>
        <v>#N/A</v>
      </c>
      <c r="F308" s="108" t="e">
        <f t="shared" si="67"/>
        <v>#N/A</v>
      </c>
      <c r="G308" s="114">
        <f t="shared" si="68"/>
        <v>0</v>
      </c>
      <c r="H308" s="110">
        <v>308</v>
      </c>
      <c r="I308" s="115">
        <v>0.0105</v>
      </c>
      <c r="J308" s="116"/>
      <c r="K308" s="115">
        <v>0</v>
      </c>
      <c r="L308" s="116"/>
      <c r="M308" s="117">
        <v>0.0037</v>
      </c>
      <c r="N308" s="118">
        <f>IF(A308&gt;Dados!$C$16,0,IF(A308=Dados!$C$16,1,SUMIF($A$3:$A$500,CONCATENATE("&gt;",TEXT(DATEVALUE(TEXT(A308,"dd/mm/aaaa")),0)),$M$3:$M$500)-SUMIF($A$3:$A$500,CONCATENATE("&gt;",TEXT(Dados!$C$16-1,0)),$M$3:$M$500)+1%))</f>
        <v>0</v>
      </c>
      <c r="O308" s="119">
        <v>0.002871</v>
      </c>
      <c r="P308" s="120">
        <f t="shared" si="63"/>
        <v>0.002871</v>
      </c>
      <c r="Q308" s="119">
        <f>O308</f>
        <v>0.002871</v>
      </c>
      <c r="R308" s="120">
        <f t="shared" si="64"/>
        <v>0.002871</v>
      </c>
      <c r="S308" s="119">
        <f>O308</f>
        <v>0.002871</v>
      </c>
      <c r="T308" s="120">
        <f t="shared" si="65"/>
        <v>0.002871</v>
      </c>
      <c r="AG308" s="121">
        <f t="shared" si="69"/>
      </c>
      <c r="AH308" s="121">
        <f t="shared" si="70"/>
      </c>
      <c r="AI308" s="121">
        <f t="shared" si="71"/>
        <v>43800</v>
      </c>
      <c r="AJ308" s="121">
        <f t="shared" si="72"/>
        <v>43800</v>
      </c>
      <c r="AK308" s="121">
        <f t="shared" si="73"/>
      </c>
    </row>
    <row r="309" spans="1:37" ht="15">
      <c r="A309" s="113">
        <v>43831</v>
      </c>
      <c r="B309" s="113" t="e">
        <f t="shared" si="74"/>
        <v>#N/A</v>
      </c>
      <c r="C309" s="108" t="e">
        <f t="shared" si="62"/>
        <v>#N/A</v>
      </c>
      <c r="D309" s="114">
        <f t="shared" si="66"/>
        <v>0</v>
      </c>
      <c r="E309" s="114" t="e">
        <f t="shared" si="75"/>
        <v>#N/A</v>
      </c>
      <c r="F309" s="108" t="e">
        <f t="shared" si="67"/>
        <v>#N/A</v>
      </c>
      <c r="G309" s="114">
        <f t="shared" si="68"/>
        <v>0</v>
      </c>
      <c r="H309" s="110">
        <v>309</v>
      </c>
      <c r="I309" s="115"/>
      <c r="J309" s="116"/>
      <c r="K309" s="115"/>
      <c r="L309" s="116"/>
      <c r="M309" s="117"/>
      <c r="N309" s="118">
        <f>IF(A309&gt;Dados!$C$16,0,IF(A309=Dados!$C$16,1,SUMIF($A$3:$A$500,CONCATENATE("&gt;",TEXT(DATEVALUE(TEXT(A309,"dd/mm/aaaa")),0)),$M$3:$M$500)-SUMIF($A$3:$A$500,CONCATENATE("&gt;",TEXT(Dados!$C$16-1,0)),$M$3:$M$500)+1%))</f>
        <v>0</v>
      </c>
      <c r="O309" s="119">
        <v>0.002871</v>
      </c>
      <c r="P309" s="120">
        <f t="shared" si="63"/>
        <v>0</v>
      </c>
      <c r="Q309" s="119">
        <f>O309</f>
        <v>0.002871</v>
      </c>
      <c r="R309" s="120">
        <f t="shared" si="64"/>
        <v>0</v>
      </c>
      <c r="S309" s="119">
        <f>O309</f>
        <v>0.002871</v>
      </c>
      <c r="T309" s="120">
        <f t="shared" si="65"/>
        <v>0</v>
      </c>
      <c r="AG309" s="121">
        <f t="shared" si="69"/>
      </c>
      <c r="AH309" s="121">
        <f t="shared" si="70"/>
      </c>
      <c r="AI309" s="121">
        <f t="shared" si="71"/>
      </c>
      <c r="AJ309" s="121">
        <f t="shared" si="72"/>
      </c>
      <c r="AK309" s="121">
        <f t="shared" si="73"/>
      </c>
    </row>
    <row r="310" spans="1:37" ht="15">
      <c r="A310" s="113">
        <v>43862</v>
      </c>
      <c r="B310" s="113" t="e">
        <f t="shared" si="74"/>
        <v>#N/A</v>
      </c>
      <c r="C310" s="108" t="e">
        <f t="shared" si="62"/>
        <v>#N/A</v>
      </c>
      <c r="D310" s="114">
        <f t="shared" si="66"/>
        <v>0</v>
      </c>
      <c r="E310" s="114" t="e">
        <f t="shared" si="75"/>
        <v>#N/A</v>
      </c>
      <c r="F310" s="108" t="e">
        <f t="shared" si="67"/>
        <v>#N/A</v>
      </c>
      <c r="G310" s="114">
        <f t="shared" si="68"/>
        <v>0</v>
      </c>
      <c r="H310" s="110">
        <v>310</v>
      </c>
      <c r="I310" s="115"/>
      <c r="J310" s="116"/>
      <c r="K310" s="115"/>
      <c r="L310" s="116"/>
      <c r="M310" s="117"/>
      <c r="N310" s="118">
        <f>IF(A310&gt;Dados!$C$16,0,IF(A310=Dados!$C$16,1,SUMIF($A$3:$A$500,CONCATENATE("&gt;",TEXT(DATEVALUE(TEXT(A310,"dd/mm/aaaa")),0)),$M$3:$M$500)-SUMIF($A$3:$A$500,CONCATENATE("&gt;",TEXT(Dados!$C$16-1,0)),$M$3:$M$500)+1%))</f>
        <v>0</v>
      </c>
      <c r="O310" s="119"/>
      <c r="P310" s="120">
        <f t="shared" si="63"/>
        <v>0</v>
      </c>
      <c r="Q310" s="119"/>
      <c r="R310" s="120">
        <f t="shared" si="64"/>
        <v>0</v>
      </c>
      <c r="S310" s="119"/>
      <c r="T310" s="120">
        <f t="shared" si="65"/>
        <v>0</v>
      </c>
      <c r="AG310" s="121">
        <f t="shared" si="69"/>
      </c>
      <c r="AH310" s="121">
        <f t="shared" si="70"/>
      </c>
      <c r="AI310" s="121">
        <f t="shared" si="71"/>
      </c>
      <c r="AJ310" s="121">
        <f t="shared" si="72"/>
      </c>
      <c r="AK310" s="121">
        <f t="shared" si="73"/>
      </c>
    </row>
    <row r="311" spans="1:37" ht="15">
      <c r="A311" s="113">
        <v>43891</v>
      </c>
      <c r="B311" s="113" t="e">
        <f t="shared" si="74"/>
        <v>#N/A</v>
      </c>
      <c r="C311" s="108" t="e">
        <f t="shared" si="62"/>
        <v>#N/A</v>
      </c>
      <c r="D311" s="114">
        <f t="shared" si="66"/>
        <v>0</v>
      </c>
      <c r="E311" s="114" t="e">
        <f t="shared" si="75"/>
        <v>#N/A</v>
      </c>
      <c r="F311" s="108" t="e">
        <f t="shared" si="67"/>
        <v>#N/A</v>
      </c>
      <c r="G311" s="114">
        <f t="shared" si="68"/>
        <v>0</v>
      </c>
      <c r="H311" s="110">
        <v>311</v>
      </c>
      <c r="I311" s="115"/>
      <c r="J311" s="116"/>
      <c r="K311" s="115"/>
      <c r="L311" s="116"/>
      <c r="M311" s="117"/>
      <c r="N311" s="118">
        <f>IF(A311&gt;Dados!$C$16,0,IF(A311=Dados!$C$16,1,SUMIF($A$3:$A$500,CONCATENATE("&gt;",TEXT(DATEVALUE(TEXT(A311,"dd/mm/aaaa")),0)),$M$3:$M$500)-SUMIF($A$3:$A$500,CONCATENATE("&gt;",TEXT(Dados!$C$16-1,0)),$M$3:$M$500)+1%))</f>
        <v>0</v>
      </c>
      <c r="O311" s="119"/>
      <c r="P311" s="120">
        <f t="shared" si="63"/>
        <v>0</v>
      </c>
      <c r="Q311" s="119"/>
      <c r="R311" s="120">
        <f t="shared" si="64"/>
        <v>0</v>
      </c>
      <c r="S311" s="119"/>
      <c r="T311" s="120">
        <f t="shared" si="65"/>
        <v>0</v>
      </c>
      <c r="AG311" s="121">
        <f t="shared" si="69"/>
      </c>
      <c r="AH311" s="121">
        <f t="shared" si="70"/>
      </c>
      <c r="AI311" s="121">
        <f t="shared" si="71"/>
      </c>
      <c r="AJ311" s="121">
        <f t="shared" si="72"/>
      </c>
      <c r="AK311" s="121">
        <f t="shared" si="73"/>
      </c>
    </row>
    <row r="312" spans="1:37" ht="15">
      <c r="A312" s="113">
        <v>43922</v>
      </c>
      <c r="B312" s="113" t="e">
        <f t="shared" si="74"/>
        <v>#N/A</v>
      </c>
      <c r="C312" s="108" t="e">
        <f t="shared" si="62"/>
        <v>#N/A</v>
      </c>
      <c r="D312" s="114">
        <f t="shared" si="66"/>
        <v>0</v>
      </c>
      <c r="E312" s="114" t="e">
        <f t="shared" si="75"/>
        <v>#N/A</v>
      </c>
      <c r="F312" s="108" t="e">
        <f t="shared" si="67"/>
        <v>#N/A</v>
      </c>
      <c r="G312" s="114">
        <f t="shared" si="68"/>
        <v>0</v>
      </c>
      <c r="H312" s="110">
        <v>312</v>
      </c>
      <c r="I312" s="115"/>
      <c r="J312" s="116"/>
      <c r="K312" s="115"/>
      <c r="L312" s="116"/>
      <c r="M312" s="117"/>
      <c r="N312" s="118">
        <f>IF(A312&gt;Dados!$C$16,0,IF(A312=Dados!$C$16,1,SUMIF($A$3:$A$500,CONCATENATE("&gt;",TEXT(DATEVALUE(TEXT(A312,"dd/mm/aaaa")),0)),$M$3:$M$500)-SUMIF($A$3:$A$500,CONCATENATE("&gt;",TEXT(Dados!$C$16-1,0)),$M$3:$M$500)+1%))</f>
        <v>0</v>
      </c>
      <c r="O312" s="119"/>
      <c r="P312" s="120">
        <f t="shared" si="63"/>
        <v>0</v>
      </c>
      <c r="Q312" s="119"/>
      <c r="R312" s="120">
        <f t="shared" si="64"/>
        <v>0</v>
      </c>
      <c r="S312" s="119"/>
      <c r="T312" s="120">
        <f t="shared" si="65"/>
        <v>0</v>
      </c>
      <c r="AG312" s="121">
        <f t="shared" si="69"/>
      </c>
      <c r="AH312" s="121">
        <f t="shared" si="70"/>
      </c>
      <c r="AI312" s="121">
        <f t="shared" si="71"/>
      </c>
      <c r="AJ312" s="121">
        <f t="shared" si="72"/>
      </c>
      <c r="AK312" s="121">
        <f t="shared" si="73"/>
      </c>
    </row>
    <row r="313" spans="1:37" ht="15">
      <c r="A313" s="113">
        <v>43952</v>
      </c>
      <c r="B313" s="113" t="e">
        <f t="shared" si="74"/>
        <v>#N/A</v>
      </c>
      <c r="C313" s="108" t="e">
        <f t="shared" si="62"/>
        <v>#N/A</v>
      </c>
      <c r="D313" s="114">
        <f t="shared" si="66"/>
        <v>0</v>
      </c>
      <c r="E313" s="114" t="e">
        <f t="shared" si="75"/>
        <v>#N/A</v>
      </c>
      <c r="F313" s="108" t="e">
        <f t="shared" si="67"/>
        <v>#N/A</v>
      </c>
      <c r="G313" s="114">
        <f t="shared" si="68"/>
        <v>0</v>
      </c>
      <c r="H313" s="110">
        <v>313</v>
      </c>
      <c r="I313" s="115"/>
      <c r="J313" s="116"/>
      <c r="K313" s="115"/>
      <c r="L313" s="116"/>
      <c r="M313" s="117"/>
      <c r="N313" s="118">
        <f>IF(A313&gt;Dados!$C$16,0,IF(A313=Dados!$C$16,1,SUMIF($A$3:$A$500,CONCATENATE("&gt;",TEXT(DATEVALUE(TEXT(A313,"dd/mm/aaaa")),0)),$M$3:$M$500)-SUMIF($A$3:$A$500,CONCATENATE("&gt;",TEXT(Dados!$C$16-1,0)),$M$3:$M$500)+1%))</f>
        <v>0</v>
      </c>
      <c r="O313" s="119"/>
      <c r="P313" s="120">
        <f t="shared" si="63"/>
        <v>0</v>
      </c>
      <c r="Q313" s="119"/>
      <c r="R313" s="120">
        <f t="shared" si="64"/>
        <v>0</v>
      </c>
      <c r="S313" s="119"/>
      <c r="T313" s="120">
        <f t="shared" si="65"/>
        <v>0</v>
      </c>
      <c r="AG313" s="121">
        <f t="shared" si="69"/>
      </c>
      <c r="AH313" s="121">
        <f t="shared" si="70"/>
      </c>
      <c r="AI313" s="121">
        <f t="shared" si="71"/>
      </c>
      <c r="AJ313" s="121">
        <f t="shared" si="72"/>
      </c>
      <c r="AK313" s="121">
        <f t="shared" si="73"/>
      </c>
    </row>
    <row r="314" spans="1:37" ht="15">
      <c r="A314" s="113">
        <v>43983</v>
      </c>
      <c r="B314" s="113" t="e">
        <f t="shared" si="74"/>
        <v>#N/A</v>
      </c>
      <c r="C314" s="108" t="e">
        <f t="shared" si="62"/>
        <v>#N/A</v>
      </c>
      <c r="D314" s="114">
        <f t="shared" si="66"/>
        <v>0</v>
      </c>
      <c r="E314" s="114" t="e">
        <f t="shared" si="75"/>
        <v>#N/A</v>
      </c>
      <c r="F314" s="108" t="e">
        <f t="shared" si="67"/>
        <v>#N/A</v>
      </c>
      <c r="G314" s="114">
        <f t="shared" si="68"/>
        <v>0</v>
      </c>
      <c r="H314" s="110">
        <v>314</v>
      </c>
      <c r="I314" s="115"/>
      <c r="J314" s="116"/>
      <c r="K314" s="115"/>
      <c r="L314" s="116"/>
      <c r="M314" s="117"/>
      <c r="N314" s="118">
        <f>IF(A314&gt;Dados!$C$16,0,IF(A314=Dados!$C$16,1,SUMIF($A$3:$A$500,CONCATENATE("&gt;",TEXT(DATEVALUE(TEXT(A314,"dd/mm/aaaa")),0)),$M$3:$M$500)-SUMIF($A$3:$A$500,CONCATENATE("&gt;",TEXT(Dados!$C$16-1,0)),$M$3:$M$500)+1%))</f>
        <v>0</v>
      </c>
      <c r="O314" s="119"/>
      <c r="P314" s="120">
        <f t="shared" si="63"/>
        <v>0</v>
      </c>
      <c r="Q314" s="119"/>
      <c r="R314" s="120">
        <f t="shared" si="64"/>
        <v>0</v>
      </c>
      <c r="S314" s="119"/>
      <c r="T314" s="120">
        <f t="shared" si="65"/>
        <v>0</v>
      </c>
      <c r="AG314" s="121">
        <f t="shared" si="69"/>
      </c>
      <c r="AH314" s="121">
        <f t="shared" si="70"/>
      </c>
      <c r="AI314" s="121">
        <f t="shared" si="71"/>
      </c>
      <c r="AJ314" s="121">
        <f t="shared" si="72"/>
      </c>
      <c r="AK314" s="121">
        <f t="shared" si="73"/>
      </c>
    </row>
    <row r="315" spans="1:37" ht="15">
      <c r="A315" s="113">
        <v>44013</v>
      </c>
      <c r="B315" s="113" t="e">
        <f t="shared" si="74"/>
        <v>#N/A</v>
      </c>
      <c r="C315" s="108" t="e">
        <f t="shared" si="62"/>
        <v>#N/A</v>
      </c>
      <c r="D315" s="114">
        <f t="shared" si="66"/>
        <v>0</v>
      </c>
      <c r="E315" s="114" t="e">
        <f t="shared" si="75"/>
        <v>#N/A</v>
      </c>
      <c r="F315" s="108" t="e">
        <f t="shared" si="67"/>
        <v>#N/A</v>
      </c>
      <c r="G315" s="114">
        <f t="shared" si="68"/>
        <v>0</v>
      </c>
      <c r="H315" s="110">
        <v>315</v>
      </c>
      <c r="I315" s="115"/>
      <c r="J315" s="116"/>
      <c r="K315" s="115"/>
      <c r="L315" s="116"/>
      <c r="M315" s="117"/>
      <c r="N315" s="118">
        <f>IF(A315&gt;Dados!$C$16,0,IF(A315=Dados!$C$16,1,SUMIF($A$3:$A$500,CONCATENATE("&gt;",TEXT(DATEVALUE(TEXT(A315,"dd/mm/aaaa")),0)),$M$3:$M$500)-SUMIF($A$3:$A$500,CONCATENATE("&gt;",TEXT(Dados!$C$16-1,0)),$M$3:$M$500)+1%))</f>
        <v>0</v>
      </c>
      <c r="O315" s="119"/>
      <c r="P315" s="120">
        <f t="shared" si="63"/>
        <v>0</v>
      </c>
      <c r="Q315" s="119"/>
      <c r="R315" s="120">
        <f t="shared" si="64"/>
        <v>0</v>
      </c>
      <c r="S315" s="119"/>
      <c r="T315" s="120">
        <f t="shared" si="65"/>
        <v>0</v>
      </c>
      <c r="AG315" s="121">
        <f t="shared" si="69"/>
      </c>
      <c r="AH315" s="121">
        <f t="shared" si="70"/>
      </c>
      <c r="AI315" s="121">
        <f t="shared" si="71"/>
      </c>
      <c r="AJ315" s="121">
        <f t="shared" si="72"/>
      </c>
      <c r="AK315" s="121">
        <f t="shared" si="73"/>
      </c>
    </row>
    <row r="316" spans="1:37" ht="15">
      <c r="A316" s="113">
        <v>44044</v>
      </c>
      <c r="B316" s="113" t="e">
        <f t="shared" si="74"/>
        <v>#N/A</v>
      </c>
      <c r="C316" s="108" t="e">
        <f t="shared" si="62"/>
        <v>#N/A</v>
      </c>
      <c r="D316" s="114">
        <f t="shared" si="66"/>
        <v>0</v>
      </c>
      <c r="E316" s="114" t="e">
        <f t="shared" si="75"/>
        <v>#N/A</v>
      </c>
      <c r="F316" s="108" t="e">
        <f t="shared" si="67"/>
        <v>#N/A</v>
      </c>
      <c r="G316" s="114">
        <f t="shared" si="68"/>
        <v>0</v>
      </c>
      <c r="H316" s="110">
        <v>316</v>
      </c>
      <c r="I316" s="115"/>
      <c r="J316" s="116"/>
      <c r="K316" s="115"/>
      <c r="L316" s="116"/>
      <c r="M316" s="117"/>
      <c r="N316" s="118">
        <f>IF(A316&gt;Dados!$C$16,0,IF(A316=Dados!$C$16,1,SUMIF($A$3:$A$500,CONCATENATE("&gt;",TEXT(DATEVALUE(TEXT(A316,"dd/mm/aaaa")),0)),$M$3:$M$500)-SUMIF($A$3:$A$500,CONCATENATE("&gt;",TEXT(Dados!$C$16-1,0)),$M$3:$M$500)+1%))</f>
        <v>0</v>
      </c>
      <c r="O316" s="119"/>
      <c r="P316" s="120">
        <f t="shared" si="63"/>
        <v>0</v>
      </c>
      <c r="Q316" s="119"/>
      <c r="R316" s="120">
        <f t="shared" si="64"/>
        <v>0</v>
      </c>
      <c r="S316" s="119"/>
      <c r="T316" s="120">
        <f t="shared" si="65"/>
        <v>0</v>
      </c>
      <c r="AG316" s="121">
        <f t="shared" si="69"/>
      </c>
      <c r="AH316" s="121">
        <f t="shared" si="70"/>
      </c>
      <c r="AI316" s="121">
        <f t="shared" si="71"/>
      </c>
      <c r="AJ316" s="121">
        <f t="shared" si="72"/>
      </c>
      <c r="AK316" s="121">
        <f t="shared" si="73"/>
      </c>
    </row>
    <row r="317" spans="1:37" ht="15">
      <c r="A317" s="113">
        <v>44075</v>
      </c>
      <c r="B317" s="113" t="e">
        <f t="shared" si="74"/>
        <v>#N/A</v>
      </c>
      <c r="C317" s="108" t="e">
        <f t="shared" si="62"/>
        <v>#N/A</v>
      </c>
      <c r="D317" s="114">
        <f t="shared" si="66"/>
        <v>0</v>
      </c>
      <c r="E317" s="114" t="e">
        <f t="shared" si="75"/>
        <v>#N/A</v>
      </c>
      <c r="F317" s="108" t="e">
        <f t="shared" si="67"/>
        <v>#N/A</v>
      </c>
      <c r="G317" s="114">
        <f t="shared" si="68"/>
        <v>0</v>
      </c>
      <c r="H317" s="110">
        <v>317</v>
      </c>
      <c r="I317" s="115"/>
      <c r="J317" s="116"/>
      <c r="K317" s="115"/>
      <c r="L317" s="116"/>
      <c r="M317" s="117"/>
      <c r="N317" s="118">
        <f>IF(A317&gt;Dados!$C$16,0,IF(A317=Dados!$C$16,1,SUMIF($A$3:$A$500,CONCATENATE("&gt;",TEXT(DATEVALUE(TEXT(A317,"dd/mm/aaaa")),0)),$M$3:$M$500)-SUMIF($A$3:$A$500,CONCATENATE("&gt;",TEXT(Dados!$C$16-1,0)),$M$3:$M$500)+1%))</f>
        <v>0</v>
      </c>
      <c r="O317" s="119"/>
      <c r="P317" s="120">
        <f t="shared" si="63"/>
        <v>0</v>
      </c>
      <c r="Q317" s="119"/>
      <c r="R317" s="120">
        <f t="shared" si="64"/>
        <v>0</v>
      </c>
      <c r="S317" s="119"/>
      <c r="T317" s="120">
        <f t="shared" si="65"/>
        <v>0</v>
      </c>
      <c r="AG317" s="121">
        <f t="shared" si="69"/>
      </c>
      <c r="AH317" s="121">
        <f t="shared" si="70"/>
      </c>
      <c r="AI317" s="121">
        <f t="shared" si="71"/>
      </c>
      <c r="AJ317" s="121">
        <f t="shared" si="72"/>
      </c>
      <c r="AK317" s="121">
        <f t="shared" si="73"/>
      </c>
    </row>
    <row r="318" spans="1:37" ht="15">
      <c r="A318" s="113">
        <v>44105</v>
      </c>
      <c r="B318" s="113" t="e">
        <f t="shared" si="74"/>
        <v>#N/A</v>
      </c>
      <c r="C318" s="108" t="e">
        <f t="shared" si="62"/>
        <v>#N/A</v>
      </c>
      <c r="D318" s="114">
        <f t="shared" si="66"/>
        <v>0</v>
      </c>
      <c r="E318" s="114" t="e">
        <f t="shared" si="75"/>
        <v>#N/A</v>
      </c>
      <c r="F318" s="108" t="e">
        <f t="shared" si="67"/>
        <v>#N/A</v>
      </c>
      <c r="G318" s="114">
        <f t="shared" si="68"/>
        <v>0</v>
      </c>
      <c r="H318" s="110">
        <v>318</v>
      </c>
      <c r="I318" s="115"/>
      <c r="J318" s="116"/>
      <c r="K318" s="115"/>
      <c r="L318" s="116"/>
      <c r="M318" s="117"/>
      <c r="N318" s="118">
        <f>IF(A318&gt;Dados!$C$16,0,IF(A318=Dados!$C$16,1,SUMIF($A$3:$A$500,CONCATENATE("&gt;",TEXT(DATEVALUE(TEXT(A318,"dd/mm/aaaa")),0)),$M$3:$M$500)-SUMIF($A$3:$A$500,CONCATENATE("&gt;",TEXT(Dados!$C$16-1,0)),$M$3:$M$500)+1%))</f>
        <v>0</v>
      </c>
      <c r="O318" s="119"/>
      <c r="P318" s="120">
        <f t="shared" si="63"/>
        <v>0</v>
      </c>
      <c r="Q318" s="119"/>
      <c r="R318" s="120">
        <f t="shared" si="64"/>
        <v>0</v>
      </c>
      <c r="S318" s="119"/>
      <c r="T318" s="120">
        <f t="shared" si="65"/>
        <v>0</v>
      </c>
      <c r="AG318" s="121">
        <f t="shared" si="69"/>
      </c>
      <c r="AH318" s="121">
        <f t="shared" si="70"/>
      </c>
      <c r="AI318" s="121">
        <f t="shared" si="71"/>
      </c>
      <c r="AJ318" s="121">
        <f t="shared" si="72"/>
      </c>
      <c r="AK318" s="121">
        <f t="shared" si="73"/>
      </c>
    </row>
    <row r="319" spans="1:37" ht="15">
      <c r="A319" s="113">
        <v>44136</v>
      </c>
      <c r="B319" s="113" t="e">
        <f t="shared" si="74"/>
        <v>#N/A</v>
      </c>
      <c r="C319" s="108" t="e">
        <f t="shared" si="62"/>
        <v>#N/A</v>
      </c>
      <c r="D319" s="114">
        <f t="shared" si="66"/>
        <v>0</v>
      </c>
      <c r="E319" s="114" t="e">
        <f t="shared" si="75"/>
        <v>#N/A</v>
      </c>
      <c r="F319" s="108" t="e">
        <f t="shared" si="67"/>
        <v>#N/A</v>
      </c>
      <c r="G319" s="114">
        <f t="shared" si="68"/>
        <v>0</v>
      </c>
      <c r="H319" s="110">
        <v>319</v>
      </c>
      <c r="I319" s="115"/>
      <c r="J319" s="116"/>
      <c r="K319" s="115"/>
      <c r="L319" s="116"/>
      <c r="M319" s="117"/>
      <c r="N319" s="118">
        <f>IF(A319&gt;Dados!$C$16,0,IF(A319=Dados!$C$16,1,SUMIF($A$3:$A$500,CONCATENATE("&gt;",TEXT(DATEVALUE(TEXT(A319,"dd/mm/aaaa")),0)),$M$3:$M$500)-SUMIF($A$3:$A$500,CONCATENATE("&gt;",TEXT(Dados!$C$16-1,0)),$M$3:$M$500)+1%))</f>
        <v>0</v>
      </c>
      <c r="O319" s="119"/>
      <c r="P319" s="120">
        <f t="shared" si="63"/>
        <v>0</v>
      </c>
      <c r="Q319" s="119"/>
      <c r="R319" s="120">
        <f t="shared" si="64"/>
        <v>0</v>
      </c>
      <c r="S319" s="119"/>
      <c r="T319" s="120">
        <f t="shared" si="65"/>
        <v>0</v>
      </c>
      <c r="AG319" s="121">
        <f t="shared" si="69"/>
      </c>
      <c r="AH319" s="121">
        <f t="shared" si="70"/>
      </c>
      <c r="AI319" s="121">
        <f t="shared" si="71"/>
      </c>
      <c r="AJ319" s="121">
        <f t="shared" si="72"/>
      </c>
      <c r="AK319" s="121">
        <f t="shared" si="73"/>
      </c>
    </row>
    <row r="320" spans="1:37" ht="15">
      <c r="A320" s="113">
        <v>44166</v>
      </c>
      <c r="B320" s="113" t="e">
        <f t="shared" si="74"/>
        <v>#N/A</v>
      </c>
      <c r="C320" s="108" t="e">
        <f t="shared" si="62"/>
        <v>#N/A</v>
      </c>
      <c r="D320" s="114">
        <f t="shared" si="66"/>
        <v>0</v>
      </c>
      <c r="E320" s="114" t="e">
        <f t="shared" si="75"/>
        <v>#N/A</v>
      </c>
      <c r="F320" s="108" t="e">
        <f t="shared" si="67"/>
        <v>#N/A</v>
      </c>
      <c r="G320" s="114">
        <f t="shared" si="68"/>
        <v>0</v>
      </c>
      <c r="H320" s="110">
        <v>320</v>
      </c>
      <c r="I320" s="115"/>
      <c r="J320" s="116"/>
      <c r="K320" s="115"/>
      <c r="L320" s="116"/>
      <c r="M320" s="117"/>
      <c r="N320" s="118">
        <f>IF(A320&gt;Dados!$C$16,0,IF(A320=Dados!$C$16,1,SUMIF($A$3:$A$500,CONCATENATE("&gt;",TEXT(DATEVALUE(TEXT(A320,"dd/mm/aaaa")),0)),$M$3:$M$500)-SUMIF($A$3:$A$500,CONCATENATE("&gt;",TEXT(Dados!$C$16-1,0)),$M$3:$M$500)+1%))</f>
        <v>0</v>
      </c>
      <c r="O320" s="119"/>
      <c r="P320" s="120">
        <f t="shared" si="63"/>
        <v>0</v>
      </c>
      <c r="Q320" s="119"/>
      <c r="R320" s="120">
        <f t="shared" si="64"/>
        <v>0</v>
      </c>
      <c r="S320" s="119"/>
      <c r="T320" s="120">
        <f t="shared" si="65"/>
        <v>0</v>
      </c>
      <c r="AG320" s="121">
        <f t="shared" si="69"/>
      </c>
      <c r="AH320" s="121">
        <f t="shared" si="70"/>
      </c>
      <c r="AI320" s="121">
        <f t="shared" si="71"/>
      </c>
      <c r="AJ320" s="121">
        <f t="shared" si="72"/>
      </c>
      <c r="AK320" s="121">
        <f t="shared" si="73"/>
      </c>
    </row>
    <row r="321" spans="1:37" ht="15">
      <c r="A321" s="113">
        <v>44197</v>
      </c>
      <c r="B321" s="113" t="e">
        <f t="shared" si="74"/>
        <v>#N/A</v>
      </c>
      <c r="C321" s="108" t="e">
        <f t="shared" si="62"/>
        <v>#N/A</v>
      </c>
      <c r="D321" s="114">
        <f t="shared" si="66"/>
        <v>0</v>
      </c>
      <c r="E321" s="114" t="e">
        <f t="shared" si="75"/>
        <v>#N/A</v>
      </c>
      <c r="F321" s="108" t="e">
        <f t="shared" si="67"/>
        <v>#N/A</v>
      </c>
      <c r="G321" s="114">
        <f t="shared" si="68"/>
        <v>0</v>
      </c>
      <c r="H321" s="110">
        <v>321</v>
      </c>
      <c r="I321" s="115"/>
      <c r="J321" s="116"/>
      <c r="K321" s="115"/>
      <c r="L321" s="116"/>
      <c r="M321" s="117"/>
      <c r="N321" s="118">
        <f>IF(A321&gt;Dados!$C$16,0,IF(A321=Dados!$C$16,1,SUMIF($A$3:$A$500,CONCATENATE("&gt;",TEXT(DATEVALUE(TEXT(A321,"dd/mm/aaaa")),0)),$M$3:$M$500)-SUMIF($A$3:$A$500,CONCATENATE("&gt;",TEXT(Dados!$C$16-1,0)),$M$3:$M$500)+1%))</f>
        <v>0</v>
      </c>
      <c r="O321" s="119"/>
      <c r="P321" s="120">
        <f t="shared" si="63"/>
        <v>0</v>
      </c>
      <c r="Q321" s="119"/>
      <c r="R321" s="120">
        <f t="shared" si="64"/>
        <v>0</v>
      </c>
      <c r="S321" s="119"/>
      <c r="T321" s="120">
        <f t="shared" si="65"/>
        <v>0</v>
      </c>
      <c r="AG321" s="121">
        <f t="shared" si="69"/>
      </c>
      <c r="AH321" s="121">
        <f t="shared" si="70"/>
      </c>
      <c r="AI321" s="121">
        <f t="shared" si="71"/>
      </c>
      <c r="AJ321" s="121">
        <f t="shared" si="72"/>
      </c>
      <c r="AK321" s="121">
        <f t="shared" si="73"/>
      </c>
    </row>
    <row r="322" spans="1:37" ht="15">
      <c r="A322" s="113">
        <v>44228</v>
      </c>
      <c r="B322" s="113" t="e">
        <f t="shared" si="74"/>
        <v>#N/A</v>
      </c>
      <c r="C322" s="108" t="e">
        <f t="shared" si="62"/>
        <v>#N/A</v>
      </c>
      <c r="D322" s="114">
        <f t="shared" si="66"/>
        <v>0</v>
      </c>
      <c r="E322" s="114" t="e">
        <f t="shared" si="75"/>
        <v>#N/A</v>
      </c>
      <c r="F322" s="108" t="e">
        <f t="shared" si="67"/>
        <v>#N/A</v>
      </c>
      <c r="G322" s="114">
        <f t="shared" si="68"/>
        <v>0</v>
      </c>
      <c r="H322" s="110">
        <v>322</v>
      </c>
      <c r="I322" s="115"/>
      <c r="J322" s="116"/>
      <c r="K322" s="115"/>
      <c r="L322" s="116"/>
      <c r="M322" s="117"/>
      <c r="N322" s="118">
        <f>IF(A322&gt;Dados!$C$16,0,IF(A322=Dados!$C$16,1,SUMIF($A$3:$A$500,CONCATENATE("&gt;",TEXT(DATEVALUE(TEXT(A322,"dd/mm/aaaa")),0)),$M$3:$M$500)-SUMIF($A$3:$A$500,CONCATENATE("&gt;",TEXT(Dados!$C$16-1,0)),$M$3:$M$500)+1%))</f>
        <v>0</v>
      </c>
      <c r="O322" s="119"/>
      <c r="P322" s="120">
        <f t="shared" si="63"/>
        <v>0</v>
      </c>
      <c r="Q322" s="119"/>
      <c r="R322" s="120">
        <f t="shared" si="64"/>
        <v>0</v>
      </c>
      <c r="S322" s="119"/>
      <c r="T322" s="120">
        <f t="shared" si="65"/>
        <v>0</v>
      </c>
      <c r="AG322" s="121">
        <f t="shared" si="69"/>
      </c>
      <c r="AH322" s="121">
        <f t="shared" si="70"/>
      </c>
      <c r="AI322" s="121">
        <f t="shared" si="71"/>
      </c>
      <c r="AJ322" s="121">
        <f t="shared" si="72"/>
      </c>
      <c r="AK322" s="121">
        <f t="shared" si="73"/>
      </c>
    </row>
    <row r="323" spans="1:37" ht="15">
      <c r="A323" s="113">
        <v>44256</v>
      </c>
      <c r="B323" s="113" t="e">
        <f t="shared" si="74"/>
        <v>#N/A</v>
      </c>
      <c r="C323" s="108" t="e">
        <f aca="true" t="shared" si="76" ref="C323:C386">IF(B323="IPCA-E",I323,IF(B323="INPC",J323,IF(B323="TR",K323,IF(B323="IGP-DI",L323,0))))</f>
        <v>#N/A</v>
      </c>
      <c r="D323" s="114">
        <f t="shared" si="66"/>
        <v>0</v>
      </c>
      <c r="E323" s="114" t="e">
        <f t="shared" si="75"/>
        <v>#N/A</v>
      </c>
      <c r="F323" s="108" t="e">
        <f t="shared" si="67"/>
        <v>#N/A</v>
      </c>
      <c r="G323" s="114">
        <f t="shared" si="68"/>
        <v>0</v>
      </c>
      <c r="H323" s="110">
        <v>323</v>
      </c>
      <c r="I323" s="115"/>
      <c r="J323" s="116"/>
      <c r="K323" s="115"/>
      <c r="L323" s="116"/>
      <c r="M323" s="117"/>
      <c r="N323" s="118">
        <f>IF(A323&gt;Dados!$C$16,0,IF(A323=Dados!$C$16,1,SUMIF($A$3:$A$500,CONCATENATE("&gt;",TEXT(DATEVALUE(TEXT(A323,"dd/mm/aaaa")),0)),$M$3:$M$500)-SUMIF($A$3:$A$500,CONCATENATE("&gt;",TEXT(Dados!$C$16-1,0)),$M$3:$M$500)+1%))</f>
        <v>0</v>
      </c>
      <c r="O323" s="119"/>
      <c r="P323" s="120">
        <f aca="true" t="shared" si="77" ref="P323:P386">O324+P324</f>
        <v>0</v>
      </c>
      <c r="Q323" s="119"/>
      <c r="R323" s="120">
        <f aca="true" t="shared" si="78" ref="R323:R386">Q324+R324</f>
        <v>0</v>
      </c>
      <c r="S323" s="119"/>
      <c r="T323" s="120">
        <f aca="true" t="shared" si="79" ref="T323:T386">S324+T324</f>
        <v>0</v>
      </c>
      <c r="AG323" s="121">
        <f t="shared" si="69"/>
      </c>
      <c r="AH323" s="121">
        <f t="shared" si="70"/>
      </c>
      <c r="AI323" s="121">
        <f t="shared" si="71"/>
      </c>
      <c r="AJ323" s="121">
        <f t="shared" si="72"/>
      </c>
      <c r="AK323" s="121">
        <f t="shared" si="73"/>
      </c>
    </row>
    <row r="324" spans="1:37" ht="15">
      <c r="A324" s="113">
        <v>44287</v>
      </c>
      <c r="B324" s="113" t="e">
        <f t="shared" si="74"/>
        <v>#N/A</v>
      </c>
      <c r="C324" s="108" t="e">
        <f t="shared" si="76"/>
        <v>#N/A</v>
      </c>
      <c r="D324" s="114">
        <f aca="true" t="shared" si="80" ref="D324:D387">IF(A324&gt;$D$2,0,IF(A324=$D$2,1,D325*(1+C324)))</f>
        <v>0</v>
      </c>
      <c r="E324" s="114" t="e">
        <f t="shared" si="75"/>
        <v>#N/A</v>
      </c>
      <c r="F324" s="108" t="e">
        <f aca="true" t="shared" si="81" ref="F324:F387">IF(E324="IPCA-E",I324,IF(E324="INPC",J324,IF(E324="TR",K324,IF(E324="IGP-DI",L324,IF(E324="SELIC",M324,N324)))))</f>
        <v>#N/A</v>
      </c>
      <c r="G324" s="114">
        <f aca="true" t="shared" si="82" ref="G324:G387">IF(A324&gt;$G$2,0,IF(A324=$G$2,1,G325*(1+F324)))</f>
        <v>0</v>
      </c>
      <c r="H324" s="110">
        <v>324</v>
      </c>
      <c r="I324" s="115"/>
      <c r="J324" s="116"/>
      <c r="K324" s="115"/>
      <c r="L324" s="116"/>
      <c r="M324" s="117"/>
      <c r="N324" s="118">
        <f>IF(A324&gt;Dados!$C$16,0,IF(A324=Dados!$C$16,1,SUMIF($A$3:$A$500,CONCATENATE("&gt;",TEXT(DATEVALUE(TEXT(A324,"dd/mm/aaaa")),0)),$M$3:$M$500)-SUMIF($A$3:$A$500,CONCATENATE("&gt;",TEXT(Dados!$C$16-1,0)),$M$3:$M$500)+1%))</f>
        <v>0</v>
      </c>
      <c r="O324" s="119"/>
      <c r="P324" s="120">
        <f t="shared" si="77"/>
        <v>0</v>
      </c>
      <c r="Q324" s="119"/>
      <c r="R324" s="120">
        <f t="shared" si="78"/>
        <v>0</v>
      </c>
      <c r="S324" s="119"/>
      <c r="T324" s="120">
        <f t="shared" si="79"/>
        <v>0</v>
      </c>
      <c r="AG324" s="121">
        <f aca="true" t="shared" si="83" ref="AG324:AG387">IF(OR(L324&lt;&gt;0,AD324=1),$A324,"")</f>
      </c>
      <c r="AH324" s="121">
        <f aca="true" t="shared" si="84" ref="AH324:AH387">IF(OR(J324&lt;&gt;0,AB324=1),$A324,"")</f>
      </c>
      <c r="AI324" s="121">
        <f aca="true" t="shared" si="85" ref="AI324:AI387">IF(OR(I324&lt;&gt;0,AA324=1),$A324,"")</f>
      </c>
      <c r="AJ324" s="121">
        <f aca="true" t="shared" si="86" ref="AJ324:AJ387">IF(OR(M324&lt;&gt;0,AE324=1),$A324,"")</f>
      </c>
      <c r="AK324" s="121">
        <f aca="true" t="shared" si="87" ref="AK324:AK387">IF(OR(K324&lt;&gt;0,AC324=1),$A324,"")</f>
      </c>
    </row>
    <row r="325" spans="1:37" ht="15">
      <c r="A325" s="113">
        <v>44317</v>
      </c>
      <c r="B325" s="113" t="e">
        <f t="shared" si="74"/>
        <v>#N/A</v>
      </c>
      <c r="C325" s="108" t="e">
        <f t="shared" si="76"/>
        <v>#N/A</v>
      </c>
      <c r="D325" s="114">
        <f t="shared" si="80"/>
        <v>0</v>
      </c>
      <c r="E325" s="114" t="e">
        <f t="shared" si="75"/>
        <v>#N/A</v>
      </c>
      <c r="F325" s="108" t="e">
        <f t="shared" si="81"/>
        <v>#N/A</v>
      </c>
      <c r="G325" s="114">
        <f t="shared" si="82"/>
        <v>0</v>
      </c>
      <c r="H325" s="110">
        <v>325</v>
      </c>
      <c r="I325" s="115"/>
      <c r="J325" s="116"/>
      <c r="K325" s="115"/>
      <c r="L325" s="116"/>
      <c r="M325" s="117"/>
      <c r="N325" s="118">
        <f>IF(A325&gt;Dados!$C$16,0,IF(A325=Dados!$C$16,1,SUMIF($A$3:$A$500,CONCATENATE("&gt;",TEXT(DATEVALUE(TEXT(A325,"dd/mm/aaaa")),0)),$M$3:$M$500)-SUMIF($A$3:$A$500,CONCATENATE("&gt;",TEXT(Dados!$C$16-1,0)),$M$3:$M$500)+1%))</f>
        <v>0</v>
      </c>
      <c r="O325" s="119"/>
      <c r="P325" s="120">
        <f t="shared" si="77"/>
        <v>0</v>
      </c>
      <c r="Q325" s="119"/>
      <c r="R325" s="120">
        <f t="shared" si="78"/>
        <v>0</v>
      </c>
      <c r="S325" s="119"/>
      <c r="T325" s="120">
        <f t="shared" si="79"/>
        <v>0</v>
      </c>
      <c r="AG325" s="121">
        <f t="shared" si="83"/>
      </c>
      <c r="AH325" s="121">
        <f t="shared" si="84"/>
      </c>
      <c r="AI325" s="121">
        <f t="shared" si="85"/>
      </c>
      <c r="AJ325" s="121">
        <f t="shared" si="86"/>
      </c>
      <c r="AK325" s="121">
        <f t="shared" si="87"/>
      </c>
    </row>
    <row r="326" spans="1:37" ht="15">
      <c r="A326" s="113">
        <v>44348</v>
      </c>
      <c r="B326" s="113" t="e">
        <f t="shared" si="74"/>
        <v>#N/A</v>
      </c>
      <c r="C326" s="108" t="e">
        <f t="shared" si="76"/>
        <v>#N/A</v>
      </c>
      <c r="D326" s="114">
        <f t="shared" si="80"/>
        <v>0</v>
      </c>
      <c r="E326" s="114" t="e">
        <f t="shared" si="75"/>
        <v>#N/A</v>
      </c>
      <c r="F326" s="108" t="e">
        <f t="shared" si="81"/>
        <v>#N/A</v>
      </c>
      <c r="G326" s="114">
        <f t="shared" si="82"/>
        <v>0</v>
      </c>
      <c r="H326" s="110">
        <v>326</v>
      </c>
      <c r="I326" s="115"/>
      <c r="J326" s="116"/>
      <c r="K326" s="115"/>
      <c r="L326" s="116"/>
      <c r="M326" s="117"/>
      <c r="N326" s="118">
        <f>IF(A326&gt;Dados!$C$16,0,IF(A326=Dados!$C$16,1,SUMIF($A$3:$A$500,CONCATENATE("&gt;",TEXT(DATEVALUE(TEXT(A326,"dd/mm/aaaa")),0)),$M$3:$M$500)-SUMIF($A$3:$A$500,CONCATENATE("&gt;",TEXT(Dados!$C$16-1,0)),$M$3:$M$500)+1%))</f>
        <v>0</v>
      </c>
      <c r="O326" s="119"/>
      <c r="P326" s="120">
        <f t="shared" si="77"/>
        <v>0</v>
      </c>
      <c r="Q326" s="119"/>
      <c r="R326" s="120">
        <f t="shared" si="78"/>
        <v>0</v>
      </c>
      <c r="S326" s="119"/>
      <c r="T326" s="120">
        <f t="shared" si="79"/>
        <v>0</v>
      </c>
      <c r="AG326" s="121">
        <f t="shared" si="83"/>
      </c>
      <c r="AH326" s="121">
        <f t="shared" si="84"/>
      </c>
      <c r="AI326" s="121">
        <f t="shared" si="85"/>
      </c>
      <c r="AJ326" s="121">
        <f t="shared" si="86"/>
      </c>
      <c r="AK326" s="121">
        <f t="shared" si="87"/>
      </c>
    </row>
    <row r="327" spans="1:37" ht="15">
      <c r="A327" s="113">
        <v>44378</v>
      </c>
      <c r="B327" s="113" t="e">
        <f t="shared" si="74"/>
        <v>#N/A</v>
      </c>
      <c r="C327" s="108" t="e">
        <f t="shared" si="76"/>
        <v>#N/A</v>
      </c>
      <c r="D327" s="114">
        <f t="shared" si="80"/>
        <v>0</v>
      </c>
      <c r="E327" s="114" t="e">
        <f t="shared" si="75"/>
        <v>#N/A</v>
      </c>
      <c r="F327" s="108" t="e">
        <f t="shared" si="81"/>
        <v>#N/A</v>
      </c>
      <c r="G327" s="114">
        <f t="shared" si="82"/>
        <v>0</v>
      </c>
      <c r="H327" s="110">
        <v>327</v>
      </c>
      <c r="I327" s="115"/>
      <c r="J327" s="116"/>
      <c r="K327" s="115"/>
      <c r="L327" s="116"/>
      <c r="M327" s="117"/>
      <c r="N327" s="118">
        <f>IF(A327&gt;Dados!$C$16,0,IF(A327=Dados!$C$16,1,SUMIF($A$3:$A$500,CONCATENATE("&gt;",TEXT(DATEVALUE(TEXT(A327,"dd/mm/aaaa")),0)),$M$3:$M$500)-SUMIF($A$3:$A$500,CONCATENATE("&gt;",TEXT(Dados!$C$16-1,0)),$M$3:$M$500)+1%))</f>
        <v>0</v>
      </c>
      <c r="O327" s="119"/>
      <c r="P327" s="120">
        <f t="shared" si="77"/>
        <v>0</v>
      </c>
      <c r="Q327" s="119"/>
      <c r="R327" s="120">
        <f t="shared" si="78"/>
        <v>0</v>
      </c>
      <c r="S327" s="119"/>
      <c r="T327" s="120">
        <f t="shared" si="79"/>
        <v>0</v>
      </c>
      <c r="AG327" s="121">
        <f t="shared" si="83"/>
      </c>
      <c r="AH327" s="121">
        <f t="shared" si="84"/>
      </c>
      <c r="AI327" s="121">
        <f t="shared" si="85"/>
      </c>
      <c r="AJ327" s="121">
        <f t="shared" si="86"/>
      </c>
      <c r="AK327" s="121">
        <f t="shared" si="87"/>
      </c>
    </row>
    <row r="328" spans="1:37" ht="15">
      <c r="A328" s="113">
        <v>44409</v>
      </c>
      <c r="B328" s="113" t="e">
        <f t="shared" si="74"/>
        <v>#N/A</v>
      </c>
      <c r="C328" s="108" t="e">
        <f t="shared" si="76"/>
        <v>#N/A</v>
      </c>
      <c r="D328" s="114">
        <f t="shared" si="80"/>
        <v>0</v>
      </c>
      <c r="E328" s="114" t="e">
        <f t="shared" si="75"/>
        <v>#N/A</v>
      </c>
      <c r="F328" s="108" t="e">
        <f t="shared" si="81"/>
        <v>#N/A</v>
      </c>
      <c r="G328" s="114">
        <f t="shared" si="82"/>
        <v>0</v>
      </c>
      <c r="H328" s="110">
        <v>328</v>
      </c>
      <c r="I328" s="115"/>
      <c r="J328" s="116"/>
      <c r="K328" s="115"/>
      <c r="L328" s="116"/>
      <c r="M328" s="117"/>
      <c r="N328" s="118">
        <f>IF(A328&gt;Dados!$C$16,0,IF(A328=Dados!$C$16,1,SUMIF($A$3:$A$500,CONCATENATE("&gt;",TEXT(DATEVALUE(TEXT(A328,"dd/mm/aaaa")),0)),$M$3:$M$500)-SUMIF($A$3:$A$500,CONCATENATE("&gt;",TEXT(Dados!$C$16-1,0)),$M$3:$M$500)+1%))</f>
        <v>0</v>
      </c>
      <c r="O328" s="119"/>
      <c r="P328" s="120">
        <f t="shared" si="77"/>
        <v>0</v>
      </c>
      <c r="Q328" s="119"/>
      <c r="R328" s="120">
        <f t="shared" si="78"/>
        <v>0</v>
      </c>
      <c r="S328" s="119"/>
      <c r="T328" s="120">
        <f t="shared" si="79"/>
        <v>0</v>
      </c>
      <c r="AG328" s="121">
        <f t="shared" si="83"/>
      </c>
      <c r="AH328" s="121">
        <f t="shared" si="84"/>
      </c>
      <c r="AI328" s="121">
        <f t="shared" si="85"/>
      </c>
      <c r="AJ328" s="121">
        <f t="shared" si="86"/>
      </c>
      <c r="AK328" s="121">
        <f t="shared" si="87"/>
      </c>
    </row>
    <row r="329" spans="1:37" ht="15">
      <c r="A329" s="113">
        <v>44440</v>
      </c>
      <c r="B329" s="113" t="e">
        <f t="shared" si="74"/>
        <v>#N/A</v>
      </c>
      <c r="C329" s="108" t="e">
        <f t="shared" si="76"/>
        <v>#N/A</v>
      </c>
      <c r="D329" s="114">
        <f t="shared" si="80"/>
        <v>0</v>
      </c>
      <c r="E329" s="114" t="e">
        <f t="shared" si="75"/>
        <v>#N/A</v>
      </c>
      <c r="F329" s="108" t="e">
        <f t="shared" si="81"/>
        <v>#N/A</v>
      </c>
      <c r="G329" s="114">
        <f t="shared" si="82"/>
        <v>0</v>
      </c>
      <c r="H329" s="110">
        <v>329</v>
      </c>
      <c r="I329" s="115"/>
      <c r="J329" s="116"/>
      <c r="K329" s="115"/>
      <c r="L329" s="116"/>
      <c r="M329" s="117"/>
      <c r="N329" s="118">
        <f>IF(A329&gt;Dados!$C$16,0,IF(A329=Dados!$C$16,1,SUMIF($A$3:$A$500,CONCATENATE("&gt;",TEXT(DATEVALUE(TEXT(A329,"dd/mm/aaaa")),0)),$M$3:$M$500)-SUMIF($A$3:$A$500,CONCATENATE("&gt;",TEXT(Dados!$C$16-1,0)),$M$3:$M$500)+1%))</f>
        <v>0</v>
      </c>
      <c r="O329" s="119"/>
      <c r="P329" s="120">
        <f t="shared" si="77"/>
        <v>0</v>
      </c>
      <c r="Q329" s="119"/>
      <c r="R329" s="120">
        <f t="shared" si="78"/>
        <v>0</v>
      </c>
      <c r="S329" s="119"/>
      <c r="T329" s="120">
        <f t="shared" si="79"/>
        <v>0</v>
      </c>
      <c r="AG329" s="121">
        <f t="shared" si="83"/>
      </c>
      <c r="AH329" s="121">
        <f t="shared" si="84"/>
      </c>
      <c r="AI329" s="121">
        <f t="shared" si="85"/>
      </c>
      <c r="AJ329" s="121">
        <f t="shared" si="86"/>
      </c>
      <c r="AK329" s="121">
        <f t="shared" si="87"/>
      </c>
    </row>
    <row r="330" spans="1:37" ht="15">
      <c r="A330" s="113">
        <v>44470</v>
      </c>
      <c r="B330" s="113" t="e">
        <f t="shared" si="74"/>
        <v>#N/A</v>
      </c>
      <c r="C330" s="108" t="e">
        <f t="shared" si="76"/>
        <v>#N/A</v>
      </c>
      <c r="D330" s="114">
        <f t="shared" si="80"/>
        <v>0</v>
      </c>
      <c r="E330" s="114" t="e">
        <f t="shared" si="75"/>
        <v>#N/A</v>
      </c>
      <c r="F330" s="108" t="e">
        <f t="shared" si="81"/>
        <v>#N/A</v>
      </c>
      <c r="G330" s="114">
        <f t="shared" si="82"/>
        <v>0</v>
      </c>
      <c r="H330" s="110">
        <v>330</v>
      </c>
      <c r="I330" s="115"/>
      <c r="J330" s="116"/>
      <c r="K330" s="115"/>
      <c r="L330" s="116"/>
      <c r="M330" s="117"/>
      <c r="N330" s="118">
        <f>IF(A330&gt;Dados!$C$16,0,IF(A330=Dados!$C$16,1,SUMIF($A$3:$A$500,CONCATENATE("&gt;",TEXT(DATEVALUE(TEXT(A330,"dd/mm/aaaa")),0)),$M$3:$M$500)-SUMIF($A$3:$A$500,CONCATENATE("&gt;",TEXT(Dados!$C$16-1,0)),$M$3:$M$500)+1%))</f>
        <v>0</v>
      </c>
      <c r="O330" s="119"/>
      <c r="P330" s="120">
        <f t="shared" si="77"/>
        <v>0</v>
      </c>
      <c r="Q330" s="119"/>
      <c r="R330" s="120">
        <f t="shared" si="78"/>
        <v>0</v>
      </c>
      <c r="S330" s="119"/>
      <c r="T330" s="120">
        <f t="shared" si="79"/>
        <v>0</v>
      </c>
      <c r="AG330" s="121">
        <f t="shared" si="83"/>
      </c>
      <c r="AH330" s="121">
        <f t="shared" si="84"/>
      </c>
      <c r="AI330" s="121">
        <f t="shared" si="85"/>
      </c>
      <c r="AJ330" s="121">
        <f t="shared" si="86"/>
      </c>
      <c r="AK330" s="121">
        <f t="shared" si="87"/>
      </c>
    </row>
    <row r="331" spans="1:37" ht="15">
      <c r="A331" s="113">
        <v>44501</v>
      </c>
      <c r="B331" s="113" t="e">
        <f t="shared" si="74"/>
        <v>#N/A</v>
      </c>
      <c r="C331" s="108" t="e">
        <f t="shared" si="76"/>
        <v>#N/A</v>
      </c>
      <c r="D331" s="114">
        <f t="shared" si="80"/>
        <v>0</v>
      </c>
      <c r="E331" s="114" t="e">
        <f t="shared" si="75"/>
        <v>#N/A</v>
      </c>
      <c r="F331" s="108" t="e">
        <f t="shared" si="81"/>
        <v>#N/A</v>
      </c>
      <c r="G331" s="114">
        <f t="shared" si="82"/>
        <v>0</v>
      </c>
      <c r="H331" s="110">
        <v>331</v>
      </c>
      <c r="I331" s="115"/>
      <c r="J331" s="116"/>
      <c r="K331" s="115"/>
      <c r="L331" s="116"/>
      <c r="M331" s="117"/>
      <c r="N331" s="118">
        <f>IF(A331&gt;Dados!$C$16,0,IF(A331=Dados!$C$16,1,SUMIF($A$3:$A$500,CONCATENATE("&gt;",TEXT(DATEVALUE(TEXT(A331,"dd/mm/aaaa")),0)),$M$3:$M$500)-SUMIF($A$3:$A$500,CONCATENATE("&gt;",TEXT(Dados!$C$16-1,0)),$M$3:$M$500)+1%))</f>
        <v>0</v>
      </c>
      <c r="O331" s="119"/>
      <c r="P331" s="120">
        <f t="shared" si="77"/>
        <v>0</v>
      </c>
      <c r="Q331" s="119"/>
      <c r="R331" s="120">
        <f t="shared" si="78"/>
        <v>0</v>
      </c>
      <c r="S331" s="119"/>
      <c r="T331" s="120">
        <f t="shared" si="79"/>
        <v>0</v>
      </c>
      <c r="AG331" s="121">
        <f t="shared" si="83"/>
      </c>
      <c r="AH331" s="121">
        <f t="shared" si="84"/>
      </c>
      <c r="AI331" s="121">
        <f t="shared" si="85"/>
      </c>
      <c r="AJ331" s="121">
        <f t="shared" si="86"/>
      </c>
      <c r="AK331" s="121">
        <f t="shared" si="87"/>
      </c>
    </row>
    <row r="332" spans="1:37" ht="15">
      <c r="A332" s="113">
        <v>44531</v>
      </c>
      <c r="B332" s="113" t="e">
        <f t="shared" si="74"/>
        <v>#N/A</v>
      </c>
      <c r="C332" s="108" t="e">
        <f t="shared" si="76"/>
        <v>#N/A</v>
      </c>
      <c r="D332" s="114">
        <f t="shared" si="80"/>
        <v>0</v>
      </c>
      <c r="E332" s="114" t="e">
        <f t="shared" si="75"/>
        <v>#N/A</v>
      </c>
      <c r="F332" s="108" t="e">
        <f t="shared" si="81"/>
        <v>#N/A</v>
      </c>
      <c r="G332" s="114">
        <f t="shared" si="82"/>
        <v>0</v>
      </c>
      <c r="H332" s="110">
        <v>332</v>
      </c>
      <c r="I332" s="115"/>
      <c r="J332" s="116"/>
      <c r="K332" s="115"/>
      <c r="L332" s="116"/>
      <c r="M332" s="117"/>
      <c r="N332" s="118">
        <f>IF(A332&gt;Dados!$C$16,0,IF(A332=Dados!$C$16,1,SUMIF($A$3:$A$500,CONCATENATE("&gt;",TEXT(DATEVALUE(TEXT(A332,"dd/mm/aaaa")),0)),$M$3:$M$500)-SUMIF($A$3:$A$500,CONCATENATE("&gt;",TEXT(Dados!$C$16-1,0)),$M$3:$M$500)+1%))</f>
        <v>0</v>
      </c>
      <c r="O332" s="119"/>
      <c r="P332" s="120">
        <f t="shared" si="77"/>
        <v>0</v>
      </c>
      <c r="Q332" s="119"/>
      <c r="R332" s="120">
        <f t="shared" si="78"/>
        <v>0</v>
      </c>
      <c r="S332" s="119"/>
      <c r="T332" s="120">
        <f t="shared" si="79"/>
        <v>0</v>
      </c>
      <c r="AG332" s="121">
        <f t="shared" si="83"/>
      </c>
      <c r="AH332" s="121">
        <f t="shared" si="84"/>
      </c>
      <c r="AI332" s="121">
        <f t="shared" si="85"/>
      </c>
      <c r="AJ332" s="121">
        <f t="shared" si="86"/>
      </c>
      <c r="AK332" s="121">
        <f t="shared" si="87"/>
      </c>
    </row>
    <row r="333" spans="1:37" ht="15">
      <c r="A333" s="113">
        <v>44562</v>
      </c>
      <c r="B333" s="113" t="e">
        <f t="shared" si="74"/>
        <v>#N/A</v>
      </c>
      <c r="C333" s="108" t="e">
        <f t="shared" si="76"/>
        <v>#N/A</v>
      </c>
      <c r="D333" s="114">
        <f t="shared" si="80"/>
        <v>0</v>
      </c>
      <c r="E333" s="114" t="e">
        <f t="shared" si="75"/>
        <v>#N/A</v>
      </c>
      <c r="F333" s="108" t="e">
        <f t="shared" si="81"/>
        <v>#N/A</v>
      </c>
      <c r="G333" s="114">
        <f t="shared" si="82"/>
        <v>0</v>
      </c>
      <c r="H333" s="110">
        <v>333</v>
      </c>
      <c r="I333" s="115"/>
      <c r="J333" s="116"/>
      <c r="K333" s="115"/>
      <c r="L333" s="116"/>
      <c r="M333" s="117"/>
      <c r="N333" s="118">
        <f>IF(A333&gt;Dados!$C$16,0,IF(A333=Dados!$C$16,1,SUMIF($A$3:$A$500,CONCATENATE("&gt;",TEXT(DATEVALUE(TEXT(A333,"dd/mm/aaaa")),0)),$M$3:$M$500)-SUMIF($A$3:$A$500,CONCATENATE("&gt;",TEXT(Dados!$C$16-1,0)),$M$3:$M$500)+1%))</f>
        <v>0</v>
      </c>
      <c r="O333" s="119"/>
      <c r="P333" s="120">
        <f t="shared" si="77"/>
        <v>0</v>
      </c>
      <c r="Q333" s="119"/>
      <c r="R333" s="120">
        <f t="shared" si="78"/>
        <v>0</v>
      </c>
      <c r="S333" s="119"/>
      <c r="T333" s="120">
        <f t="shared" si="79"/>
        <v>0</v>
      </c>
      <c r="AG333" s="121">
        <f t="shared" si="83"/>
      </c>
      <c r="AH333" s="121">
        <f t="shared" si="84"/>
      </c>
      <c r="AI333" s="121">
        <f t="shared" si="85"/>
      </c>
      <c r="AJ333" s="121">
        <f t="shared" si="86"/>
      </c>
      <c r="AK333" s="121">
        <f t="shared" si="87"/>
      </c>
    </row>
    <row r="334" spans="1:37" ht="15">
      <c r="A334" s="113">
        <v>44593</v>
      </c>
      <c r="B334" s="113" t="e">
        <f t="shared" si="74"/>
        <v>#N/A</v>
      </c>
      <c r="C334" s="108" t="e">
        <f t="shared" si="76"/>
        <v>#N/A</v>
      </c>
      <c r="D334" s="114">
        <f t="shared" si="80"/>
        <v>0</v>
      </c>
      <c r="E334" s="114" t="e">
        <f t="shared" si="75"/>
        <v>#N/A</v>
      </c>
      <c r="F334" s="108" t="e">
        <f t="shared" si="81"/>
        <v>#N/A</v>
      </c>
      <c r="G334" s="114">
        <f t="shared" si="82"/>
        <v>0</v>
      </c>
      <c r="H334" s="110">
        <v>334</v>
      </c>
      <c r="I334" s="115"/>
      <c r="J334" s="116"/>
      <c r="K334" s="115"/>
      <c r="L334" s="116"/>
      <c r="M334" s="117"/>
      <c r="N334" s="118">
        <f>IF(A334&gt;Dados!$C$16,0,IF(A334=Dados!$C$16,1,SUMIF($A$3:$A$500,CONCATENATE("&gt;",TEXT(DATEVALUE(TEXT(A334,"dd/mm/aaaa")),0)),$M$3:$M$500)-SUMIF($A$3:$A$500,CONCATENATE("&gt;",TEXT(Dados!$C$16-1,0)),$M$3:$M$500)+1%))</f>
        <v>0</v>
      </c>
      <c r="O334" s="119"/>
      <c r="P334" s="120">
        <f t="shared" si="77"/>
        <v>0</v>
      </c>
      <c r="Q334" s="119"/>
      <c r="R334" s="120">
        <f t="shared" si="78"/>
        <v>0</v>
      </c>
      <c r="S334" s="119"/>
      <c r="T334" s="120">
        <f t="shared" si="79"/>
        <v>0</v>
      </c>
      <c r="AG334" s="121">
        <f t="shared" si="83"/>
      </c>
      <c r="AH334" s="121">
        <f t="shared" si="84"/>
      </c>
      <c r="AI334" s="121">
        <f t="shared" si="85"/>
      </c>
      <c r="AJ334" s="121">
        <f t="shared" si="86"/>
      </c>
      <c r="AK334" s="121">
        <f t="shared" si="87"/>
      </c>
    </row>
    <row r="335" spans="1:37" ht="15">
      <c r="A335" s="113">
        <v>44621</v>
      </c>
      <c r="B335" s="113" t="e">
        <f t="shared" si="74"/>
        <v>#N/A</v>
      </c>
      <c r="C335" s="108" t="e">
        <f t="shared" si="76"/>
        <v>#N/A</v>
      </c>
      <c r="D335" s="114">
        <f t="shared" si="80"/>
        <v>0</v>
      </c>
      <c r="E335" s="114" t="e">
        <f t="shared" si="75"/>
        <v>#N/A</v>
      </c>
      <c r="F335" s="108" t="e">
        <f t="shared" si="81"/>
        <v>#N/A</v>
      </c>
      <c r="G335" s="114">
        <f t="shared" si="82"/>
        <v>0</v>
      </c>
      <c r="H335" s="110">
        <v>335</v>
      </c>
      <c r="I335" s="115"/>
      <c r="J335" s="116"/>
      <c r="K335" s="115"/>
      <c r="L335" s="116"/>
      <c r="M335" s="117"/>
      <c r="N335" s="118">
        <f>IF(A335&gt;Dados!$C$16,0,IF(A335=Dados!$C$16,1,SUMIF($A$3:$A$500,CONCATENATE("&gt;",TEXT(DATEVALUE(TEXT(A335,"dd/mm/aaaa")),0)),$M$3:$M$500)-SUMIF($A$3:$A$500,CONCATENATE("&gt;",TEXT(Dados!$C$16-1,0)),$M$3:$M$500)+1%))</f>
        <v>0</v>
      </c>
      <c r="O335" s="119"/>
      <c r="P335" s="120">
        <f t="shared" si="77"/>
        <v>0</v>
      </c>
      <c r="Q335" s="119"/>
      <c r="R335" s="120">
        <f t="shared" si="78"/>
        <v>0</v>
      </c>
      <c r="S335" s="119"/>
      <c r="T335" s="120">
        <f t="shared" si="79"/>
        <v>0</v>
      </c>
      <c r="AG335" s="121">
        <f t="shared" si="83"/>
      </c>
      <c r="AH335" s="121">
        <f t="shared" si="84"/>
      </c>
      <c r="AI335" s="121">
        <f t="shared" si="85"/>
      </c>
      <c r="AJ335" s="121">
        <f t="shared" si="86"/>
      </c>
      <c r="AK335" s="121">
        <f t="shared" si="87"/>
      </c>
    </row>
    <row r="336" spans="1:37" ht="15">
      <c r="A336" s="113">
        <v>44652</v>
      </c>
      <c r="B336" s="113" t="e">
        <f t="shared" si="74"/>
        <v>#N/A</v>
      </c>
      <c r="C336" s="108" t="e">
        <f t="shared" si="76"/>
        <v>#N/A</v>
      </c>
      <c r="D336" s="114">
        <f t="shared" si="80"/>
        <v>0</v>
      </c>
      <c r="E336" s="114" t="e">
        <f t="shared" si="75"/>
        <v>#N/A</v>
      </c>
      <c r="F336" s="108" t="e">
        <f t="shared" si="81"/>
        <v>#N/A</v>
      </c>
      <c r="G336" s="114">
        <f t="shared" si="82"/>
        <v>0</v>
      </c>
      <c r="H336" s="110">
        <v>336</v>
      </c>
      <c r="I336" s="115"/>
      <c r="J336" s="116"/>
      <c r="K336" s="115"/>
      <c r="L336" s="116"/>
      <c r="M336" s="117"/>
      <c r="N336" s="118">
        <f>IF(A336&gt;Dados!$C$16,0,IF(A336=Dados!$C$16,1,SUMIF($A$3:$A$500,CONCATENATE("&gt;",TEXT(DATEVALUE(TEXT(A336,"dd/mm/aaaa")),0)),$M$3:$M$500)-SUMIF($A$3:$A$500,CONCATENATE("&gt;",TEXT(Dados!$C$16-1,0)),$M$3:$M$500)+1%))</f>
        <v>0</v>
      </c>
      <c r="O336" s="119"/>
      <c r="P336" s="120">
        <f t="shared" si="77"/>
        <v>0</v>
      </c>
      <c r="Q336" s="119"/>
      <c r="R336" s="120">
        <f t="shared" si="78"/>
        <v>0</v>
      </c>
      <c r="S336" s="119"/>
      <c r="T336" s="120">
        <f t="shared" si="79"/>
        <v>0</v>
      </c>
      <c r="AG336" s="121">
        <f t="shared" si="83"/>
      </c>
      <c r="AH336" s="121">
        <f t="shared" si="84"/>
      </c>
      <c r="AI336" s="121">
        <f t="shared" si="85"/>
      </c>
      <c r="AJ336" s="121">
        <f t="shared" si="86"/>
      </c>
      <c r="AK336" s="121">
        <f t="shared" si="87"/>
      </c>
    </row>
    <row r="337" spans="1:37" ht="15">
      <c r="A337" s="113">
        <v>44682</v>
      </c>
      <c r="B337" s="113" t="e">
        <f t="shared" si="74"/>
        <v>#N/A</v>
      </c>
      <c r="C337" s="108" t="e">
        <f t="shared" si="76"/>
        <v>#N/A</v>
      </c>
      <c r="D337" s="114">
        <f t="shared" si="80"/>
        <v>0</v>
      </c>
      <c r="E337" s="114" t="e">
        <f t="shared" si="75"/>
        <v>#N/A</v>
      </c>
      <c r="F337" s="108" t="e">
        <f t="shared" si="81"/>
        <v>#N/A</v>
      </c>
      <c r="G337" s="114">
        <f t="shared" si="82"/>
        <v>0</v>
      </c>
      <c r="H337" s="110">
        <v>337</v>
      </c>
      <c r="I337" s="115"/>
      <c r="J337" s="116"/>
      <c r="K337" s="115"/>
      <c r="L337" s="116"/>
      <c r="M337" s="117"/>
      <c r="N337" s="118">
        <f>IF(A337&gt;Dados!$C$16,0,IF(A337=Dados!$C$16,1,SUMIF($A$3:$A$500,CONCATENATE("&gt;",TEXT(DATEVALUE(TEXT(A337,"dd/mm/aaaa")),0)),$M$3:$M$500)-SUMIF($A$3:$A$500,CONCATENATE("&gt;",TEXT(Dados!$C$16-1,0)),$M$3:$M$500)+1%))</f>
        <v>0</v>
      </c>
      <c r="O337" s="119"/>
      <c r="P337" s="120">
        <f t="shared" si="77"/>
        <v>0</v>
      </c>
      <c r="Q337" s="119"/>
      <c r="R337" s="120">
        <f t="shared" si="78"/>
        <v>0</v>
      </c>
      <c r="S337" s="119"/>
      <c r="T337" s="120">
        <f t="shared" si="79"/>
        <v>0</v>
      </c>
      <c r="AG337" s="121">
        <f t="shared" si="83"/>
      </c>
      <c r="AH337" s="121">
        <f t="shared" si="84"/>
      </c>
      <c r="AI337" s="121">
        <f t="shared" si="85"/>
      </c>
      <c r="AJ337" s="121">
        <f t="shared" si="86"/>
      </c>
      <c r="AK337" s="121">
        <f t="shared" si="87"/>
      </c>
    </row>
    <row r="338" spans="1:37" ht="15">
      <c r="A338" s="113">
        <v>44713</v>
      </c>
      <c r="B338" s="113" t="e">
        <f t="shared" si="74"/>
        <v>#N/A</v>
      </c>
      <c r="C338" s="108" t="e">
        <f t="shared" si="76"/>
        <v>#N/A</v>
      </c>
      <c r="D338" s="114">
        <f t="shared" si="80"/>
        <v>0</v>
      </c>
      <c r="E338" s="114" t="e">
        <f t="shared" si="75"/>
        <v>#N/A</v>
      </c>
      <c r="F338" s="108" t="e">
        <f t="shared" si="81"/>
        <v>#N/A</v>
      </c>
      <c r="G338" s="114">
        <f t="shared" si="82"/>
        <v>0</v>
      </c>
      <c r="H338" s="110">
        <v>338</v>
      </c>
      <c r="I338" s="115"/>
      <c r="J338" s="116"/>
      <c r="K338" s="115"/>
      <c r="L338" s="116"/>
      <c r="M338" s="117"/>
      <c r="N338" s="118">
        <f>IF(A338&gt;Dados!$C$16,0,IF(A338=Dados!$C$16,1,SUMIF($A$3:$A$500,CONCATENATE("&gt;",TEXT(DATEVALUE(TEXT(A338,"dd/mm/aaaa")),0)),$M$3:$M$500)-SUMIF($A$3:$A$500,CONCATENATE("&gt;",TEXT(Dados!$C$16-1,0)),$M$3:$M$500)+1%))</f>
        <v>0</v>
      </c>
      <c r="O338" s="119"/>
      <c r="P338" s="120">
        <f t="shared" si="77"/>
        <v>0</v>
      </c>
      <c r="Q338" s="119"/>
      <c r="R338" s="120">
        <f t="shared" si="78"/>
        <v>0</v>
      </c>
      <c r="S338" s="119"/>
      <c r="T338" s="120">
        <f t="shared" si="79"/>
        <v>0</v>
      </c>
      <c r="AG338" s="121">
        <f t="shared" si="83"/>
      </c>
      <c r="AH338" s="121">
        <f t="shared" si="84"/>
      </c>
      <c r="AI338" s="121">
        <f t="shared" si="85"/>
      </c>
      <c r="AJ338" s="121">
        <f t="shared" si="86"/>
      </c>
      <c r="AK338" s="121">
        <f t="shared" si="87"/>
      </c>
    </row>
    <row r="339" spans="1:37" ht="15">
      <c r="A339" s="113">
        <v>44743</v>
      </c>
      <c r="B339" s="113" t="e">
        <f t="shared" si="74"/>
        <v>#N/A</v>
      </c>
      <c r="C339" s="108" t="e">
        <f t="shared" si="76"/>
        <v>#N/A</v>
      </c>
      <c r="D339" s="114">
        <f t="shared" si="80"/>
        <v>0</v>
      </c>
      <c r="E339" s="114" t="e">
        <f t="shared" si="75"/>
        <v>#N/A</v>
      </c>
      <c r="F339" s="108" t="e">
        <f t="shared" si="81"/>
        <v>#N/A</v>
      </c>
      <c r="G339" s="114">
        <f t="shared" si="82"/>
        <v>0</v>
      </c>
      <c r="H339" s="110">
        <v>339</v>
      </c>
      <c r="I339" s="115"/>
      <c r="J339" s="116"/>
      <c r="K339" s="115"/>
      <c r="L339" s="116"/>
      <c r="M339" s="117"/>
      <c r="N339" s="118">
        <f>IF(A339&gt;Dados!$C$16,0,IF(A339=Dados!$C$16,1,SUMIF($A$3:$A$500,CONCATENATE("&gt;",TEXT(DATEVALUE(TEXT(A339,"dd/mm/aaaa")),0)),$M$3:$M$500)-SUMIF($A$3:$A$500,CONCATENATE("&gt;",TEXT(Dados!$C$16-1,0)),$M$3:$M$500)+1%))</f>
        <v>0</v>
      </c>
      <c r="O339" s="119"/>
      <c r="P339" s="120">
        <f t="shared" si="77"/>
        <v>0</v>
      </c>
      <c r="Q339" s="119"/>
      <c r="R339" s="120">
        <f t="shared" si="78"/>
        <v>0</v>
      </c>
      <c r="S339" s="119"/>
      <c r="T339" s="120">
        <f t="shared" si="79"/>
        <v>0</v>
      </c>
      <c r="AG339" s="121">
        <f t="shared" si="83"/>
      </c>
      <c r="AH339" s="121">
        <f t="shared" si="84"/>
      </c>
      <c r="AI339" s="121">
        <f t="shared" si="85"/>
      </c>
      <c r="AJ339" s="121">
        <f t="shared" si="86"/>
      </c>
      <c r="AK339" s="121">
        <f t="shared" si="87"/>
      </c>
    </row>
    <row r="340" spans="1:37" ht="15">
      <c r="A340" s="113">
        <v>44774</v>
      </c>
      <c r="B340" s="113" t="e">
        <f t="shared" si="74"/>
        <v>#N/A</v>
      </c>
      <c r="C340" s="108" t="e">
        <f t="shared" si="76"/>
        <v>#N/A</v>
      </c>
      <c r="D340" s="114">
        <f t="shared" si="80"/>
        <v>0</v>
      </c>
      <c r="E340" s="114" t="e">
        <f t="shared" si="75"/>
        <v>#N/A</v>
      </c>
      <c r="F340" s="108" t="e">
        <f t="shared" si="81"/>
        <v>#N/A</v>
      </c>
      <c r="G340" s="114">
        <f t="shared" si="82"/>
        <v>0</v>
      </c>
      <c r="H340" s="110">
        <v>340</v>
      </c>
      <c r="I340" s="115"/>
      <c r="J340" s="116"/>
      <c r="K340" s="115"/>
      <c r="L340" s="116"/>
      <c r="M340" s="117"/>
      <c r="N340" s="118">
        <f>IF(A340&gt;Dados!$C$16,0,IF(A340=Dados!$C$16,1,SUMIF($A$3:$A$500,CONCATENATE("&gt;",TEXT(DATEVALUE(TEXT(A340,"dd/mm/aaaa")),0)),$M$3:$M$500)-SUMIF($A$3:$A$500,CONCATENATE("&gt;",TEXT(Dados!$C$16-1,0)),$M$3:$M$500)+1%))</f>
        <v>0</v>
      </c>
      <c r="O340" s="119"/>
      <c r="P340" s="120">
        <f t="shared" si="77"/>
        <v>0</v>
      </c>
      <c r="Q340" s="119"/>
      <c r="R340" s="120">
        <f t="shared" si="78"/>
        <v>0</v>
      </c>
      <c r="S340" s="119"/>
      <c r="T340" s="120">
        <f t="shared" si="79"/>
        <v>0</v>
      </c>
      <c r="AG340" s="121">
        <f t="shared" si="83"/>
      </c>
      <c r="AH340" s="121">
        <f t="shared" si="84"/>
      </c>
      <c r="AI340" s="121">
        <f t="shared" si="85"/>
      </c>
      <c r="AJ340" s="121">
        <f t="shared" si="86"/>
      </c>
      <c r="AK340" s="121">
        <f t="shared" si="87"/>
      </c>
    </row>
    <row r="341" spans="1:37" ht="15">
      <c r="A341" s="113">
        <v>44805</v>
      </c>
      <c r="B341" s="113" t="e">
        <f t="shared" si="74"/>
        <v>#N/A</v>
      </c>
      <c r="C341" s="108" t="e">
        <f t="shared" si="76"/>
        <v>#N/A</v>
      </c>
      <c r="D341" s="114">
        <f t="shared" si="80"/>
        <v>0</v>
      </c>
      <c r="E341" s="114" t="e">
        <f t="shared" si="75"/>
        <v>#N/A</v>
      </c>
      <c r="F341" s="108" t="e">
        <f t="shared" si="81"/>
        <v>#N/A</v>
      </c>
      <c r="G341" s="114">
        <f t="shared" si="82"/>
        <v>0</v>
      </c>
      <c r="H341" s="110">
        <v>341</v>
      </c>
      <c r="I341" s="115"/>
      <c r="J341" s="116"/>
      <c r="K341" s="115"/>
      <c r="L341" s="116"/>
      <c r="M341" s="117"/>
      <c r="N341" s="118">
        <f>IF(A341&gt;Dados!$C$16,0,IF(A341=Dados!$C$16,1,SUMIF($A$3:$A$500,CONCATENATE("&gt;",TEXT(DATEVALUE(TEXT(A341,"dd/mm/aaaa")),0)),$M$3:$M$500)-SUMIF($A$3:$A$500,CONCATENATE("&gt;",TEXT(Dados!$C$16-1,0)),$M$3:$M$500)+1%))</f>
        <v>0</v>
      </c>
      <c r="O341" s="119"/>
      <c r="P341" s="120">
        <f t="shared" si="77"/>
        <v>0</v>
      </c>
      <c r="Q341" s="119"/>
      <c r="R341" s="120">
        <f t="shared" si="78"/>
        <v>0</v>
      </c>
      <c r="S341" s="119"/>
      <c r="T341" s="120">
        <f t="shared" si="79"/>
        <v>0</v>
      </c>
      <c r="AG341" s="121">
        <f t="shared" si="83"/>
      </c>
      <c r="AH341" s="121">
        <f t="shared" si="84"/>
      </c>
      <c r="AI341" s="121">
        <f t="shared" si="85"/>
      </c>
      <c r="AJ341" s="121">
        <f t="shared" si="86"/>
      </c>
      <c r="AK341" s="121">
        <f t="shared" si="87"/>
      </c>
    </row>
    <row r="342" spans="1:37" ht="15">
      <c r="A342" s="113">
        <v>44835</v>
      </c>
      <c r="B342" s="113" t="e">
        <f t="shared" si="74"/>
        <v>#N/A</v>
      </c>
      <c r="C342" s="108" t="e">
        <f t="shared" si="76"/>
        <v>#N/A</v>
      </c>
      <c r="D342" s="114">
        <f t="shared" si="80"/>
        <v>0</v>
      </c>
      <c r="E342" s="114" t="e">
        <f t="shared" si="75"/>
        <v>#N/A</v>
      </c>
      <c r="F342" s="108" t="e">
        <f t="shared" si="81"/>
        <v>#N/A</v>
      </c>
      <c r="G342" s="114">
        <f t="shared" si="82"/>
        <v>0</v>
      </c>
      <c r="H342" s="110">
        <v>342</v>
      </c>
      <c r="I342" s="115"/>
      <c r="J342" s="116"/>
      <c r="K342" s="115"/>
      <c r="L342" s="116"/>
      <c r="M342" s="117"/>
      <c r="N342" s="118">
        <f>IF(A342&gt;Dados!$C$16,0,IF(A342=Dados!$C$16,1,SUMIF($A$3:$A$500,CONCATENATE("&gt;",TEXT(DATEVALUE(TEXT(A342,"dd/mm/aaaa")),0)),$M$3:$M$500)-SUMIF($A$3:$A$500,CONCATENATE("&gt;",TEXT(Dados!$C$16-1,0)),$M$3:$M$500)+1%))</f>
        <v>0</v>
      </c>
      <c r="O342" s="119"/>
      <c r="P342" s="120">
        <f t="shared" si="77"/>
        <v>0</v>
      </c>
      <c r="Q342" s="119"/>
      <c r="R342" s="120">
        <f t="shared" si="78"/>
        <v>0</v>
      </c>
      <c r="S342" s="119"/>
      <c r="T342" s="120">
        <f t="shared" si="79"/>
        <v>0</v>
      </c>
      <c r="AG342" s="121">
        <f t="shared" si="83"/>
      </c>
      <c r="AH342" s="121">
        <f t="shared" si="84"/>
      </c>
      <c r="AI342" s="121">
        <f t="shared" si="85"/>
      </c>
      <c r="AJ342" s="121">
        <f t="shared" si="86"/>
      </c>
      <c r="AK342" s="121">
        <f t="shared" si="87"/>
      </c>
    </row>
    <row r="343" spans="1:37" ht="15">
      <c r="A343" s="113">
        <v>44866</v>
      </c>
      <c r="B343" s="113" t="e">
        <f t="shared" si="74"/>
        <v>#N/A</v>
      </c>
      <c r="C343" s="108" t="e">
        <f t="shared" si="76"/>
        <v>#N/A</v>
      </c>
      <c r="D343" s="114">
        <f t="shared" si="80"/>
        <v>0</v>
      </c>
      <c r="E343" s="114" t="e">
        <f t="shared" si="75"/>
        <v>#N/A</v>
      </c>
      <c r="F343" s="108" t="e">
        <f t="shared" si="81"/>
        <v>#N/A</v>
      </c>
      <c r="G343" s="114">
        <f t="shared" si="82"/>
        <v>0</v>
      </c>
      <c r="H343" s="110">
        <v>343</v>
      </c>
      <c r="I343" s="115"/>
      <c r="J343" s="116"/>
      <c r="K343" s="115"/>
      <c r="L343" s="116"/>
      <c r="M343" s="117"/>
      <c r="N343" s="118">
        <f>IF(A343&gt;Dados!$C$16,0,IF(A343=Dados!$C$16,1,SUMIF($A$3:$A$500,CONCATENATE("&gt;",TEXT(DATEVALUE(TEXT(A343,"dd/mm/aaaa")),0)),$M$3:$M$500)-SUMIF($A$3:$A$500,CONCATENATE("&gt;",TEXT(Dados!$C$16-1,0)),$M$3:$M$500)+1%))</f>
        <v>0</v>
      </c>
      <c r="O343" s="119"/>
      <c r="P343" s="120">
        <f t="shared" si="77"/>
        <v>0</v>
      </c>
      <c r="Q343" s="119"/>
      <c r="R343" s="120">
        <f t="shared" si="78"/>
        <v>0</v>
      </c>
      <c r="S343" s="119"/>
      <c r="T343" s="120">
        <f t="shared" si="79"/>
        <v>0</v>
      </c>
      <c r="AG343" s="121">
        <f t="shared" si="83"/>
      </c>
      <c r="AH343" s="121">
        <f t="shared" si="84"/>
      </c>
      <c r="AI343" s="121">
        <f t="shared" si="85"/>
      </c>
      <c r="AJ343" s="121">
        <f t="shared" si="86"/>
      </c>
      <c r="AK343" s="121">
        <f t="shared" si="87"/>
      </c>
    </row>
    <row r="344" spans="1:37" ht="15">
      <c r="A344" s="113">
        <v>44896</v>
      </c>
      <c r="B344" s="113" t="e">
        <f t="shared" si="74"/>
        <v>#N/A</v>
      </c>
      <c r="C344" s="108" t="e">
        <f t="shared" si="76"/>
        <v>#N/A</v>
      </c>
      <c r="D344" s="114">
        <f t="shared" si="80"/>
        <v>0</v>
      </c>
      <c r="E344" s="114" t="e">
        <f t="shared" si="75"/>
        <v>#N/A</v>
      </c>
      <c r="F344" s="108" t="e">
        <f t="shared" si="81"/>
        <v>#N/A</v>
      </c>
      <c r="G344" s="114">
        <f t="shared" si="82"/>
        <v>0</v>
      </c>
      <c r="H344" s="110">
        <v>344</v>
      </c>
      <c r="I344" s="115"/>
      <c r="J344" s="116"/>
      <c r="K344" s="115"/>
      <c r="L344" s="116"/>
      <c r="M344" s="117"/>
      <c r="N344" s="118">
        <f>IF(A344&gt;Dados!$C$16,0,IF(A344=Dados!$C$16,1,SUMIF($A$3:$A$500,CONCATENATE("&gt;",TEXT(DATEVALUE(TEXT(A344,"dd/mm/aaaa")),0)),$M$3:$M$500)-SUMIF($A$3:$A$500,CONCATENATE("&gt;",TEXT(Dados!$C$16-1,0)),$M$3:$M$500)+1%))</f>
        <v>0</v>
      </c>
      <c r="O344" s="119"/>
      <c r="P344" s="120">
        <f t="shared" si="77"/>
        <v>0</v>
      </c>
      <c r="Q344" s="119"/>
      <c r="R344" s="120">
        <f t="shared" si="78"/>
        <v>0</v>
      </c>
      <c r="S344" s="119"/>
      <c r="T344" s="120">
        <f t="shared" si="79"/>
        <v>0</v>
      </c>
      <c r="AG344" s="121">
        <f t="shared" si="83"/>
      </c>
      <c r="AH344" s="121">
        <f t="shared" si="84"/>
      </c>
      <c r="AI344" s="121">
        <f t="shared" si="85"/>
      </c>
      <c r="AJ344" s="121">
        <f t="shared" si="86"/>
      </c>
      <c r="AK344" s="121">
        <f t="shared" si="87"/>
      </c>
    </row>
    <row r="345" spans="1:37" ht="15">
      <c r="A345" s="113">
        <v>44927</v>
      </c>
      <c r="B345" s="113" t="e">
        <f t="shared" si="74"/>
        <v>#N/A</v>
      </c>
      <c r="C345" s="108" t="e">
        <f t="shared" si="76"/>
        <v>#N/A</v>
      </c>
      <c r="D345" s="114">
        <f t="shared" si="80"/>
        <v>0</v>
      </c>
      <c r="E345" s="114" t="e">
        <f t="shared" si="75"/>
        <v>#N/A</v>
      </c>
      <c r="F345" s="108" t="e">
        <f t="shared" si="81"/>
        <v>#N/A</v>
      </c>
      <c r="G345" s="114">
        <f t="shared" si="82"/>
        <v>0</v>
      </c>
      <c r="H345" s="110">
        <v>345</v>
      </c>
      <c r="I345" s="115"/>
      <c r="J345" s="116"/>
      <c r="K345" s="115"/>
      <c r="L345" s="116"/>
      <c r="M345" s="117"/>
      <c r="N345" s="118">
        <f>IF(A345&gt;Dados!$C$16,0,IF(A345=Dados!$C$16,1,SUMIF($A$3:$A$500,CONCATENATE("&gt;",TEXT(DATEVALUE(TEXT(A345,"dd/mm/aaaa")),0)),$M$3:$M$500)-SUMIF($A$3:$A$500,CONCATENATE("&gt;",TEXT(Dados!$C$16-1,0)),$M$3:$M$500)+1%))</f>
        <v>0</v>
      </c>
      <c r="O345" s="119"/>
      <c r="P345" s="120">
        <f t="shared" si="77"/>
        <v>0</v>
      </c>
      <c r="Q345" s="119"/>
      <c r="R345" s="120">
        <f t="shared" si="78"/>
        <v>0</v>
      </c>
      <c r="S345" s="119"/>
      <c r="T345" s="120">
        <f t="shared" si="79"/>
        <v>0</v>
      </c>
      <c r="AG345" s="121">
        <f t="shared" si="83"/>
      </c>
      <c r="AH345" s="121">
        <f t="shared" si="84"/>
      </c>
      <c r="AI345" s="121">
        <f t="shared" si="85"/>
      </c>
      <c r="AJ345" s="121">
        <f t="shared" si="86"/>
      </c>
      <c r="AK345" s="121">
        <f t="shared" si="87"/>
      </c>
    </row>
    <row r="346" spans="1:37" ht="15">
      <c r="A346" s="113">
        <v>44958</v>
      </c>
      <c r="B346" s="113" t="e">
        <f t="shared" si="74"/>
        <v>#N/A</v>
      </c>
      <c r="C346" s="108" t="e">
        <f t="shared" si="76"/>
        <v>#N/A</v>
      </c>
      <c r="D346" s="114">
        <f t="shared" si="80"/>
        <v>0</v>
      </c>
      <c r="E346" s="114" t="e">
        <f t="shared" si="75"/>
        <v>#N/A</v>
      </c>
      <c r="F346" s="108" t="e">
        <f t="shared" si="81"/>
        <v>#N/A</v>
      </c>
      <c r="G346" s="114">
        <f t="shared" si="82"/>
        <v>0</v>
      </c>
      <c r="H346" s="110">
        <v>346</v>
      </c>
      <c r="I346" s="115"/>
      <c r="J346" s="116"/>
      <c r="K346" s="115"/>
      <c r="L346" s="116"/>
      <c r="M346" s="117"/>
      <c r="N346" s="118">
        <f>IF(A346&gt;Dados!$C$16,0,IF(A346=Dados!$C$16,1,SUMIF($A$3:$A$500,CONCATENATE("&gt;",TEXT(DATEVALUE(TEXT(A346,"dd/mm/aaaa")),0)),$M$3:$M$500)-SUMIF($A$3:$A$500,CONCATENATE("&gt;",TEXT(Dados!$C$16-1,0)),$M$3:$M$500)+1%))</f>
        <v>0</v>
      </c>
      <c r="O346" s="119"/>
      <c r="P346" s="120">
        <f t="shared" si="77"/>
        <v>0</v>
      </c>
      <c r="Q346" s="119"/>
      <c r="R346" s="120">
        <f t="shared" si="78"/>
        <v>0</v>
      </c>
      <c r="S346" s="119"/>
      <c r="T346" s="120">
        <f t="shared" si="79"/>
        <v>0</v>
      </c>
      <c r="AG346" s="121">
        <f t="shared" si="83"/>
      </c>
      <c r="AH346" s="121">
        <f t="shared" si="84"/>
      </c>
      <c r="AI346" s="121">
        <f t="shared" si="85"/>
      </c>
      <c r="AJ346" s="121">
        <f t="shared" si="86"/>
      </c>
      <c r="AK346" s="121">
        <f t="shared" si="87"/>
      </c>
    </row>
    <row r="347" spans="1:37" ht="15">
      <c r="A347" s="113">
        <v>44986</v>
      </c>
      <c r="B347" s="113" t="e">
        <f aca="true" t="shared" si="88" ref="B347:B410">B346</f>
        <v>#N/A</v>
      </c>
      <c r="C347" s="108" t="e">
        <f t="shared" si="76"/>
        <v>#N/A</v>
      </c>
      <c r="D347" s="114">
        <f t="shared" si="80"/>
        <v>0</v>
      </c>
      <c r="E347" s="114" t="e">
        <f aca="true" t="shared" si="89" ref="E347:E410">E346</f>
        <v>#N/A</v>
      </c>
      <c r="F347" s="108" t="e">
        <f t="shared" si="81"/>
        <v>#N/A</v>
      </c>
      <c r="G347" s="114">
        <f t="shared" si="82"/>
        <v>0</v>
      </c>
      <c r="H347" s="110">
        <v>347</v>
      </c>
      <c r="I347" s="115"/>
      <c r="J347" s="116"/>
      <c r="K347" s="115"/>
      <c r="L347" s="116"/>
      <c r="M347" s="117"/>
      <c r="N347" s="118">
        <f>IF(A347&gt;Dados!$C$16,0,IF(A347=Dados!$C$16,1,SUMIF($A$3:$A$500,CONCATENATE("&gt;",TEXT(DATEVALUE(TEXT(A347,"dd/mm/aaaa")),0)),$M$3:$M$500)-SUMIF($A$3:$A$500,CONCATENATE("&gt;",TEXT(Dados!$C$16-1,0)),$M$3:$M$500)+1%))</f>
        <v>0</v>
      </c>
      <c r="O347" s="119"/>
      <c r="P347" s="120">
        <f t="shared" si="77"/>
        <v>0</v>
      </c>
      <c r="Q347" s="119"/>
      <c r="R347" s="120">
        <f t="shared" si="78"/>
        <v>0</v>
      </c>
      <c r="S347" s="119"/>
      <c r="T347" s="120">
        <f t="shared" si="79"/>
        <v>0</v>
      </c>
      <c r="AG347" s="121">
        <f t="shared" si="83"/>
      </c>
      <c r="AH347" s="121">
        <f t="shared" si="84"/>
      </c>
      <c r="AI347" s="121">
        <f t="shared" si="85"/>
      </c>
      <c r="AJ347" s="121">
        <f t="shared" si="86"/>
      </c>
      <c r="AK347" s="121">
        <f t="shared" si="87"/>
      </c>
    </row>
    <row r="348" spans="1:37" ht="15">
      <c r="A348" s="113">
        <v>45017</v>
      </c>
      <c r="B348" s="113" t="e">
        <f t="shared" si="88"/>
        <v>#N/A</v>
      </c>
      <c r="C348" s="108" t="e">
        <f t="shared" si="76"/>
        <v>#N/A</v>
      </c>
      <c r="D348" s="114">
        <f t="shared" si="80"/>
        <v>0</v>
      </c>
      <c r="E348" s="114" t="e">
        <f t="shared" si="89"/>
        <v>#N/A</v>
      </c>
      <c r="F348" s="108" t="e">
        <f t="shared" si="81"/>
        <v>#N/A</v>
      </c>
      <c r="G348" s="114">
        <f t="shared" si="82"/>
        <v>0</v>
      </c>
      <c r="H348" s="110">
        <v>348</v>
      </c>
      <c r="I348" s="115"/>
      <c r="J348" s="116"/>
      <c r="K348" s="115"/>
      <c r="L348" s="116"/>
      <c r="M348" s="117"/>
      <c r="N348" s="118">
        <f>IF(A348&gt;Dados!$C$16,0,IF(A348=Dados!$C$16,1,SUMIF($A$3:$A$500,CONCATENATE("&gt;",TEXT(DATEVALUE(TEXT(A348,"dd/mm/aaaa")),0)),$M$3:$M$500)-SUMIF($A$3:$A$500,CONCATENATE("&gt;",TEXT(Dados!$C$16-1,0)),$M$3:$M$500)+1%))</f>
        <v>0</v>
      </c>
      <c r="O348" s="119"/>
      <c r="P348" s="120">
        <f t="shared" si="77"/>
        <v>0</v>
      </c>
      <c r="Q348" s="119"/>
      <c r="R348" s="120">
        <f t="shared" si="78"/>
        <v>0</v>
      </c>
      <c r="S348" s="119"/>
      <c r="T348" s="120">
        <f t="shared" si="79"/>
        <v>0</v>
      </c>
      <c r="AG348" s="121">
        <f t="shared" si="83"/>
      </c>
      <c r="AH348" s="121">
        <f t="shared" si="84"/>
      </c>
      <c r="AI348" s="121">
        <f t="shared" si="85"/>
      </c>
      <c r="AJ348" s="121">
        <f t="shared" si="86"/>
      </c>
      <c r="AK348" s="121">
        <f t="shared" si="87"/>
      </c>
    </row>
    <row r="349" spans="1:37" ht="15">
      <c r="A349" s="113">
        <v>45047</v>
      </c>
      <c r="B349" s="113" t="e">
        <f t="shared" si="88"/>
        <v>#N/A</v>
      </c>
      <c r="C349" s="108" t="e">
        <f t="shared" si="76"/>
        <v>#N/A</v>
      </c>
      <c r="D349" s="114">
        <f t="shared" si="80"/>
        <v>0</v>
      </c>
      <c r="E349" s="114" t="e">
        <f t="shared" si="89"/>
        <v>#N/A</v>
      </c>
      <c r="F349" s="108" t="e">
        <f t="shared" si="81"/>
        <v>#N/A</v>
      </c>
      <c r="G349" s="114">
        <f t="shared" si="82"/>
        <v>0</v>
      </c>
      <c r="H349" s="110">
        <v>349</v>
      </c>
      <c r="I349" s="115"/>
      <c r="J349" s="116"/>
      <c r="K349" s="115"/>
      <c r="L349" s="116"/>
      <c r="M349" s="117"/>
      <c r="N349" s="118">
        <f>IF(A349&gt;Dados!$C$16,0,IF(A349=Dados!$C$16,1,SUMIF($A$3:$A$500,CONCATENATE("&gt;",TEXT(DATEVALUE(TEXT(A349,"dd/mm/aaaa")),0)),$M$3:$M$500)-SUMIF($A$3:$A$500,CONCATENATE("&gt;",TEXT(Dados!$C$16-1,0)),$M$3:$M$500)+1%))</f>
        <v>0</v>
      </c>
      <c r="O349" s="119"/>
      <c r="P349" s="120">
        <f t="shared" si="77"/>
        <v>0</v>
      </c>
      <c r="Q349" s="119"/>
      <c r="R349" s="120">
        <f t="shared" si="78"/>
        <v>0</v>
      </c>
      <c r="S349" s="119"/>
      <c r="T349" s="120">
        <f t="shared" si="79"/>
        <v>0</v>
      </c>
      <c r="AG349" s="121">
        <f t="shared" si="83"/>
      </c>
      <c r="AH349" s="121">
        <f t="shared" si="84"/>
      </c>
      <c r="AI349" s="121">
        <f t="shared" si="85"/>
      </c>
      <c r="AJ349" s="121">
        <f t="shared" si="86"/>
      </c>
      <c r="AK349" s="121">
        <f t="shared" si="87"/>
      </c>
    </row>
    <row r="350" spans="1:37" ht="15">
      <c r="A350" s="113">
        <v>45078</v>
      </c>
      <c r="B350" s="113" t="e">
        <f t="shared" si="88"/>
        <v>#N/A</v>
      </c>
      <c r="C350" s="108" t="e">
        <f t="shared" si="76"/>
        <v>#N/A</v>
      </c>
      <c r="D350" s="114">
        <f t="shared" si="80"/>
        <v>0</v>
      </c>
      <c r="E350" s="114" t="e">
        <f t="shared" si="89"/>
        <v>#N/A</v>
      </c>
      <c r="F350" s="108" t="e">
        <f t="shared" si="81"/>
        <v>#N/A</v>
      </c>
      <c r="G350" s="114">
        <f t="shared" si="82"/>
        <v>0</v>
      </c>
      <c r="H350" s="110">
        <v>350</v>
      </c>
      <c r="I350" s="115"/>
      <c r="J350" s="116"/>
      <c r="K350" s="115"/>
      <c r="L350" s="116"/>
      <c r="M350" s="117"/>
      <c r="N350" s="118">
        <f>IF(A350&gt;Dados!$C$16,0,IF(A350=Dados!$C$16,1,SUMIF($A$3:$A$500,CONCATENATE("&gt;",TEXT(DATEVALUE(TEXT(A350,"dd/mm/aaaa")),0)),$M$3:$M$500)-SUMIF($A$3:$A$500,CONCATENATE("&gt;",TEXT(Dados!$C$16-1,0)),$M$3:$M$500)+1%))</f>
        <v>0</v>
      </c>
      <c r="O350" s="119"/>
      <c r="P350" s="120">
        <f t="shared" si="77"/>
        <v>0</v>
      </c>
      <c r="Q350" s="119"/>
      <c r="R350" s="120">
        <f t="shared" si="78"/>
        <v>0</v>
      </c>
      <c r="S350" s="119"/>
      <c r="T350" s="120">
        <f t="shared" si="79"/>
        <v>0</v>
      </c>
      <c r="AG350" s="121">
        <f t="shared" si="83"/>
      </c>
      <c r="AH350" s="121">
        <f t="shared" si="84"/>
      </c>
      <c r="AI350" s="121">
        <f t="shared" si="85"/>
      </c>
      <c r="AJ350" s="121">
        <f t="shared" si="86"/>
      </c>
      <c r="AK350" s="121">
        <f t="shared" si="87"/>
      </c>
    </row>
    <row r="351" spans="1:37" ht="15">
      <c r="A351" s="113">
        <v>45108</v>
      </c>
      <c r="B351" s="113" t="e">
        <f t="shared" si="88"/>
        <v>#N/A</v>
      </c>
      <c r="C351" s="108" t="e">
        <f t="shared" si="76"/>
        <v>#N/A</v>
      </c>
      <c r="D351" s="114">
        <f t="shared" si="80"/>
        <v>0</v>
      </c>
      <c r="E351" s="114" t="e">
        <f t="shared" si="89"/>
        <v>#N/A</v>
      </c>
      <c r="F351" s="108" t="e">
        <f t="shared" si="81"/>
        <v>#N/A</v>
      </c>
      <c r="G351" s="114">
        <f t="shared" si="82"/>
        <v>0</v>
      </c>
      <c r="H351" s="110">
        <v>351</v>
      </c>
      <c r="I351" s="115"/>
      <c r="J351" s="116"/>
      <c r="K351" s="115"/>
      <c r="L351" s="116"/>
      <c r="M351" s="117"/>
      <c r="N351" s="118">
        <f>IF(A351&gt;Dados!$C$16,0,IF(A351=Dados!$C$16,1,SUMIF($A$3:$A$500,CONCATENATE("&gt;",TEXT(DATEVALUE(TEXT(A351,"dd/mm/aaaa")),0)),$M$3:$M$500)-SUMIF($A$3:$A$500,CONCATENATE("&gt;",TEXT(Dados!$C$16-1,0)),$M$3:$M$500)+1%))</f>
        <v>0</v>
      </c>
      <c r="O351" s="119"/>
      <c r="P351" s="120">
        <f t="shared" si="77"/>
        <v>0</v>
      </c>
      <c r="Q351" s="119"/>
      <c r="R351" s="120">
        <f t="shared" si="78"/>
        <v>0</v>
      </c>
      <c r="S351" s="119"/>
      <c r="T351" s="120">
        <f t="shared" si="79"/>
        <v>0</v>
      </c>
      <c r="AG351" s="121">
        <f t="shared" si="83"/>
      </c>
      <c r="AH351" s="121">
        <f t="shared" si="84"/>
      </c>
      <c r="AI351" s="121">
        <f t="shared" si="85"/>
      </c>
      <c r="AJ351" s="121">
        <f t="shared" si="86"/>
      </c>
      <c r="AK351" s="121">
        <f t="shared" si="87"/>
      </c>
    </row>
    <row r="352" spans="1:37" ht="15">
      <c r="A352" s="113">
        <v>45139</v>
      </c>
      <c r="B352" s="113" t="e">
        <f t="shared" si="88"/>
        <v>#N/A</v>
      </c>
      <c r="C352" s="108" t="e">
        <f t="shared" si="76"/>
        <v>#N/A</v>
      </c>
      <c r="D352" s="114">
        <f t="shared" si="80"/>
        <v>0</v>
      </c>
      <c r="E352" s="114" t="e">
        <f t="shared" si="89"/>
        <v>#N/A</v>
      </c>
      <c r="F352" s="108" t="e">
        <f t="shared" si="81"/>
        <v>#N/A</v>
      </c>
      <c r="G352" s="114">
        <f t="shared" si="82"/>
        <v>0</v>
      </c>
      <c r="H352" s="110">
        <v>352</v>
      </c>
      <c r="I352" s="115"/>
      <c r="J352" s="116"/>
      <c r="K352" s="115"/>
      <c r="L352" s="116"/>
      <c r="M352" s="117"/>
      <c r="N352" s="118">
        <f>IF(A352&gt;Dados!$C$16,0,IF(A352=Dados!$C$16,1,SUMIF($A$3:$A$500,CONCATENATE("&gt;",TEXT(DATEVALUE(TEXT(A352,"dd/mm/aaaa")),0)),$M$3:$M$500)-SUMIF($A$3:$A$500,CONCATENATE("&gt;",TEXT(Dados!$C$16-1,0)),$M$3:$M$500)+1%))</f>
        <v>0</v>
      </c>
      <c r="O352" s="119"/>
      <c r="P352" s="120">
        <f t="shared" si="77"/>
        <v>0</v>
      </c>
      <c r="Q352" s="119"/>
      <c r="R352" s="120">
        <f t="shared" si="78"/>
        <v>0</v>
      </c>
      <c r="S352" s="119"/>
      <c r="T352" s="120">
        <f t="shared" si="79"/>
        <v>0</v>
      </c>
      <c r="AG352" s="121">
        <f t="shared" si="83"/>
      </c>
      <c r="AH352" s="121">
        <f t="shared" si="84"/>
      </c>
      <c r="AI352" s="121">
        <f t="shared" si="85"/>
      </c>
      <c r="AJ352" s="121">
        <f t="shared" si="86"/>
      </c>
      <c r="AK352" s="121">
        <f t="shared" si="87"/>
      </c>
    </row>
    <row r="353" spans="1:37" ht="15">
      <c r="A353" s="113">
        <v>45170</v>
      </c>
      <c r="B353" s="113" t="e">
        <f t="shared" si="88"/>
        <v>#N/A</v>
      </c>
      <c r="C353" s="108" t="e">
        <f t="shared" si="76"/>
        <v>#N/A</v>
      </c>
      <c r="D353" s="114">
        <f t="shared" si="80"/>
        <v>0</v>
      </c>
      <c r="E353" s="114" t="e">
        <f t="shared" si="89"/>
        <v>#N/A</v>
      </c>
      <c r="F353" s="108" t="e">
        <f t="shared" si="81"/>
        <v>#N/A</v>
      </c>
      <c r="G353" s="114">
        <f t="shared" si="82"/>
        <v>0</v>
      </c>
      <c r="H353" s="110">
        <v>353</v>
      </c>
      <c r="I353" s="115"/>
      <c r="J353" s="116"/>
      <c r="K353" s="115"/>
      <c r="L353" s="116"/>
      <c r="M353" s="117"/>
      <c r="N353" s="118">
        <f>IF(A353&gt;Dados!$C$16,0,IF(A353=Dados!$C$16,1,SUMIF($A$3:$A$500,CONCATENATE("&gt;",TEXT(DATEVALUE(TEXT(A353,"dd/mm/aaaa")),0)),$M$3:$M$500)-SUMIF($A$3:$A$500,CONCATENATE("&gt;",TEXT(Dados!$C$16-1,0)),$M$3:$M$500)+1%))</f>
        <v>0</v>
      </c>
      <c r="O353" s="119"/>
      <c r="P353" s="120">
        <f t="shared" si="77"/>
        <v>0</v>
      </c>
      <c r="Q353" s="119"/>
      <c r="R353" s="120">
        <f t="shared" si="78"/>
        <v>0</v>
      </c>
      <c r="S353" s="119"/>
      <c r="T353" s="120">
        <f t="shared" si="79"/>
        <v>0</v>
      </c>
      <c r="AG353" s="121">
        <f t="shared" si="83"/>
      </c>
      <c r="AH353" s="121">
        <f t="shared" si="84"/>
      </c>
      <c r="AI353" s="121">
        <f t="shared" si="85"/>
      </c>
      <c r="AJ353" s="121">
        <f t="shared" si="86"/>
      </c>
      <c r="AK353" s="121">
        <f t="shared" si="87"/>
      </c>
    </row>
    <row r="354" spans="1:37" ht="15">
      <c r="A354" s="113">
        <v>45200</v>
      </c>
      <c r="B354" s="113" t="e">
        <f t="shared" si="88"/>
        <v>#N/A</v>
      </c>
      <c r="C354" s="108" t="e">
        <f t="shared" si="76"/>
        <v>#N/A</v>
      </c>
      <c r="D354" s="114">
        <f t="shared" si="80"/>
        <v>0</v>
      </c>
      <c r="E354" s="114" t="e">
        <f t="shared" si="89"/>
        <v>#N/A</v>
      </c>
      <c r="F354" s="108" t="e">
        <f t="shared" si="81"/>
        <v>#N/A</v>
      </c>
      <c r="G354" s="114">
        <f t="shared" si="82"/>
        <v>0</v>
      </c>
      <c r="H354" s="110">
        <v>354</v>
      </c>
      <c r="I354" s="115"/>
      <c r="J354" s="116"/>
      <c r="K354" s="115"/>
      <c r="L354" s="116"/>
      <c r="M354" s="117"/>
      <c r="N354" s="118">
        <f>IF(A354&gt;Dados!$C$16,0,IF(A354=Dados!$C$16,1,SUMIF($A$3:$A$500,CONCATENATE("&gt;",TEXT(DATEVALUE(TEXT(A354,"dd/mm/aaaa")),0)),$M$3:$M$500)-SUMIF($A$3:$A$500,CONCATENATE("&gt;",TEXT(Dados!$C$16-1,0)),$M$3:$M$500)+1%))</f>
        <v>0</v>
      </c>
      <c r="O354" s="119"/>
      <c r="P354" s="120">
        <f t="shared" si="77"/>
        <v>0</v>
      </c>
      <c r="Q354" s="119"/>
      <c r="R354" s="120">
        <f t="shared" si="78"/>
        <v>0</v>
      </c>
      <c r="S354" s="119"/>
      <c r="T354" s="120">
        <f t="shared" si="79"/>
        <v>0</v>
      </c>
      <c r="AG354" s="121">
        <f t="shared" si="83"/>
      </c>
      <c r="AH354" s="121">
        <f t="shared" si="84"/>
      </c>
      <c r="AI354" s="121">
        <f t="shared" si="85"/>
      </c>
      <c r="AJ354" s="121">
        <f t="shared" si="86"/>
      </c>
      <c r="AK354" s="121">
        <f t="shared" si="87"/>
      </c>
    </row>
    <row r="355" spans="1:37" ht="15">
      <c r="A355" s="113">
        <v>45231</v>
      </c>
      <c r="B355" s="113" t="e">
        <f t="shared" si="88"/>
        <v>#N/A</v>
      </c>
      <c r="C355" s="108" t="e">
        <f t="shared" si="76"/>
        <v>#N/A</v>
      </c>
      <c r="D355" s="114">
        <f t="shared" si="80"/>
        <v>0</v>
      </c>
      <c r="E355" s="114" t="e">
        <f t="shared" si="89"/>
        <v>#N/A</v>
      </c>
      <c r="F355" s="108" t="e">
        <f t="shared" si="81"/>
        <v>#N/A</v>
      </c>
      <c r="G355" s="114">
        <f t="shared" si="82"/>
        <v>0</v>
      </c>
      <c r="H355" s="110">
        <v>355</v>
      </c>
      <c r="I355" s="115"/>
      <c r="J355" s="116"/>
      <c r="K355" s="115"/>
      <c r="L355" s="116"/>
      <c r="M355" s="117"/>
      <c r="N355" s="118">
        <f>IF(A355&gt;Dados!$C$16,0,IF(A355=Dados!$C$16,1,SUMIF($A$3:$A$500,CONCATENATE("&gt;",TEXT(DATEVALUE(TEXT(A355,"dd/mm/aaaa")),0)),$M$3:$M$500)-SUMIF($A$3:$A$500,CONCATENATE("&gt;",TEXT(Dados!$C$16-1,0)),$M$3:$M$500)+1%))</f>
        <v>0</v>
      </c>
      <c r="O355" s="119"/>
      <c r="P355" s="120">
        <f t="shared" si="77"/>
        <v>0</v>
      </c>
      <c r="Q355" s="119"/>
      <c r="R355" s="120">
        <f t="shared" si="78"/>
        <v>0</v>
      </c>
      <c r="S355" s="119"/>
      <c r="T355" s="120">
        <f t="shared" si="79"/>
        <v>0</v>
      </c>
      <c r="AG355" s="121">
        <f t="shared" si="83"/>
      </c>
      <c r="AH355" s="121">
        <f t="shared" si="84"/>
      </c>
      <c r="AI355" s="121">
        <f t="shared" si="85"/>
      </c>
      <c r="AJ355" s="121">
        <f t="shared" si="86"/>
      </c>
      <c r="AK355" s="121">
        <f t="shared" si="87"/>
      </c>
    </row>
    <row r="356" spans="1:37" ht="15">
      <c r="A356" s="113">
        <v>45261</v>
      </c>
      <c r="B356" s="113" t="e">
        <f t="shared" si="88"/>
        <v>#N/A</v>
      </c>
      <c r="C356" s="108" t="e">
        <f t="shared" si="76"/>
        <v>#N/A</v>
      </c>
      <c r="D356" s="114">
        <f t="shared" si="80"/>
        <v>0</v>
      </c>
      <c r="E356" s="114" t="e">
        <f t="shared" si="89"/>
        <v>#N/A</v>
      </c>
      <c r="F356" s="108" t="e">
        <f t="shared" si="81"/>
        <v>#N/A</v>
      </c>
      <c r="G356" s="114">
        <f t="shared" si="82"/>
        <v>0</v>
      </c>
      <c r="H356" s="110">
        <v>356</v>
      </c>
      <c r="I356" s="115"/>
      <c r="J356" s="116"/>
      <c r="K356" s="115"/>
      <c r="L356" s="116"/>
      <c r="M356" s="117"/>
      <c r="N356" s="118">
        <f>IF(A356&gt;Dados!$C$16,0,IF(A356=Dados!$C$16,1,SUMIF($A$3:$A$500,CONCATENATE("&gt;",TEXT(DATEVALUE(TEXT(A356,"dd/mm/aaaa")),0)),$M$3:$M$500)-SUMIF($A$3:$A$500,CONCATENATE("&gt;",TEXT(Dados!$C$16-1,0)),$M$3:$M$500)+1%))</f>
        <v>0</v>
      </c>
      <c r="O356" s="119"/>
      <c r="P356" s="120">
        <f t="shared" si="77"/>
        <v>0</v>
      </c>
      <c r="Q356" s="119"/>
      <c r="R356" s="120">
        <f t="shared" si="78"/>
        <v>0</v>
      </c>
      <c r="S356" s="119"/>
      <c r="T356" s="120">
        <f t="shared" si="79"/>
        <v>0</v>
      </c>
      <c r="AG356" s="121">
        <f t="shared" si="83"/>
      </c>
      <c r="AH356" s="121">
        <f t="shared" si="84"/>
      </c>
      <c r="AI356" s="121">
        <f t="shared" si="85"/>
      </c>
      <c r="AJ356" s="121">
        <f t="shared" si="86"/>
      </c>
      <c r="AK356" s="121">
        <f t="shared" si="87"/>
      </c>
    </row>
    <row r="357" spans="1:37" ht="15">
      <c r="A357" s="113">
        <v>45292</v>
      </c>
      <c r="B357" s="113" t="e">
        <f t="shared" si="88"/>
        <v>#N/A</v>
      </c>
      <c r="C357" s="108" t="e">
        <f t="shared" si="76"/>
        <v>#N/A</v>
      </c>
      <c r="D357" s="114">
        <f t="shared" si="80"/>
        <v>0</v>
      </c>
      <c r="E357" s="114" t="e">
        <f t="shared" si="89"/>
        <v>#N/A</v>
      </c>
      <c r="F357" s="108" t="e">
        <f t="shared" si="81"/>
        <v>#N/A</v>
      </c>
      <c r="G357" s="114">
        <f t="shared" si="82"/>
        <v>0</v>
      </c>
      <c r="H357" s="110">
        <v>357</v>
      </c>
      <c r="I357" s="115"/>
      <c r="J357" s="116"/>
      <c r="K357" s="115"/>
      <c r="L357" s="116"/>
      <c r="M357" s="117"/>
      <c r="N357" s="118">
        <f>IF(A357&gt;Dados!$C$16,0,IF(A357=Dados!$C$16,1,SUMIF($A$3:$A$500,CONCATENATE("&gt;",TEXT(DATEVALUE(TEXT(A357,"dd/mm/aaaa")),0)),$M$3:$M$500)-SUMIF($A$3:$A$500,CONCATENATE("&gt;",TEXT(Dados!$C$16-1,0)),$M$3:$M$500)+1%))</f>
        <v>0</v>
      </c>
      <c r="O357" s="119"/>
      <c r="P357" s="120">
        <f t="shared" si="77"/>
        <v>0</v>
      </c>
      <c r="Q357" s="119"/>
      <c r="R357" s="120">
        <f t="shared" si="78"/>
        <v>0</v>
      </c>
      <c r="S357" s="119"/>
      <c r="T357" s="120">
        <f t="shared" si="79"/>
        <v>0</v>
      </c>
      <c r="AG357" s="121">
        <f t="shared" si="83"/>
      </c>
      <c r="AH357" s="121">
        <f t="shared" si="84"/>
      </c>
      <c r="AI357" s="121">
        <f t="shared" si="85"/>
      </c>
      <c r="AJ357" s="121">
        <f t="shared" si="86"/>
      </c>
      <c r="AK357" s="121">
        <f t="shared" si="87"/>
      </c>
    </row>
    <row r="358" spans="1:37" ht="15">
      <c r="A358" s="113">
        <v>45323</v>
      </c>
      <c r="B358" s="113" t="e">
        <f t="shared" si="88"/>
        <v>#N/A</v>
      </c>
      <c r="C358" s="108" t="e">
        <f t="shared" si="76"/>
        <v>#N/A</v>
      </c>
      <c r="D358" s="114">
        <f t="shared" si="80"/>
        <v>0</v>
      </c>
      <c r="E358" s="114" t="e">
        <f t="shared" si="89"/>
        <v>#N/A</v>
      </c>
      <c r="F358" s="108" t="e">
        <f t="shared" si="81"/>
        <v>#N/A</v>
      </c>
      <c r="G358" s="114">
        <f t="shared" si="82"/>
        <v>0</v>
      </c>
      <c r="H358" s="110">
        <v>358</v>
      </c>
      <c r="I358" s="115"/>
      <c r="J358" s="116"/>
      <c r="K358" s="115"/>
      <c r="L358" s="116"/>
      <c r="M358" s="117"/>
      <c r="N358" s="118">
        <f>IF(A358&gt;Dados!$C$16,0,IF(A358=Dados!$C$16,1,SUMIF($A$3:$A$500,CONCATENATE("&gt;",TEXT(DATEVALUE(TEXT(A358,"dd/mm/aaaa")),0)),$M$3:$M$500)-SUMIF($A$3:$A$500,CONCATENATE("&gt;",TEXT(Dados!$C$16-1,0)),$M$3:$M$500)+1%))</f>
        <v>0</v>
      </c>
      <c r="O358" s="119"/>
      <c r="P358" s="120">
        <f t="shared" si="77"/>
        <v>0</v>
      </c>
      <c r="Q358" s="119"/>
      <c r="R358" s="120">
        <f t="shared" si="78"/>
        <v>0</v>
      </c>
      <c r="S358" s="119"/>
      <c r="T358" s="120">
        <f t="shared" si="79"/>
        <v>0</v>
      </c>
      <c r="AG358" s="121">
        <f t="shared" si="83"/>
      </c>
      <c r="AH358" s="121">
        <f t="shared" si="84"/>
      </c>
      <c r="AI358" s="121">
        <f t="shared" si="85"/>
      </c>
      <c r="AJ358" s="121">
        <f t="shared" si="86"/>
      </c>
      <c r="AK358" s="121">
        <f t="shared" si="87"/>
      </c>
    </row>
    <row r="359" spans="1:37" ht="15">
      <c r="A359" s="113">
        <v>45352</v>
      </c>
      <c r="B359" s="113" t="e">
        <f t="shared" si="88"/>
        <v>#N/A</v>
      </c>
      <c r="C359" s="108" t="e">
        <f t="shared" si="76"/>
        <v>#N/A</v>
      </c>
      <c r="D359" s="114">
        <f t="shared" si="80"/>
        <v>0</v>
      </c>
      <c r="E359" s="114" t="e">
        <f t="shared" si="89"/>
        <v>#N/A</v>
      </c>
      <c r="F359" s="108" t="e">
        <f t="shared" si="81"/>
        <v>#N/A</v>
      </c>
      <c r="G359" s="114">
        <f t="shared" si="82"/>
        <v>0</v>
      </c>
      <c r="H359" s="110">
        <v>359</v>
      </c>
      <c r="I359" s="115"/>
      <c r="J359" s="116"/>
      <c r="K359" s="115"/>
      <c r="L359" s="116"/>
      <c r="M359" s="117"/>
      <c r="N359" s="118">
        <f>IF(A359&gt;Dados!$C$16,0,IF(A359=Dados!$C$16,1,SUMIF($A$3:$A$500,CONCATENATE("&gt;",TEXT(DATEVALUE(TEXT(A359,"dd/mm/aaaa")),0)),$M$3:$M$500)-SUMIF($A$3:$A$500,CONCATENATE("&gt;",TEXT(Dados!$C$16-1,0)),$M$3:$M$500)+1%))</f>
        <v>0</v>
      </c>
      <c r="O359" s="119"/>
      <c r="P359" s="120">
        <f t="shared" si="77"/>
        <v>0</v>
      </c>
      <c r="Q359" s="119"/>
      <c r="R359" s="120">
        <f t="shared" si="78"/>
        <v>0</v>
      </c>
      <c r="S359" s="119"/>
      <c r="T359" s="120">
        <f t="shared" si="79"/>
        <v>0</v>
      </c>
      <c r="AG359" s="121">
        <f t="shared" si="83"/>
      </c>
      <c r="AH359" s="121">
        <f t="shared" si="84"/>
      </c>
      <c r="AI359" s="121">
        <f t="shared" si="85"/>
      </c>
      <c r="AJ359" s="121">
        <f t="shared" si="86"/>
      </c>
      <c r="AK359" s="121">
        <f t="shared" si="87"/>
      </c>
    </row>
    <row r="360" spans="1:37" ht="15">
      <c r="A360" s="113">
        <v>45383</v>
      </c>
      <c r="B360" s="113" t="e">
        <f t="shared" si="88"/>
        <v>#N/A</v>
      </c>
      <c r="C360" s="108" t="e">
        <f t="shared" si="76"/>
        <v>#N/A</v>
      </c>
      <c r="D360" s="114">
        <f t="shared" si="80"/>
        <v>0</v>
      </c>
      <c r="E360" s="114" t="e">
        <f t="shared" si="89"/>
        <v>#N/A</v>
      </c>
      <c r="F360" s="108" t="e">
        <f t="shared" si="81"/>
        <v>#N/A</v>
      </c>
      <c r="G360" s="114">
        <f t="shared" si="82"/>
        <v>0</v>
      </c>
      <c r="H360" s="110">
        <v>360</v>
      </c>
      <c r="I360" s="115"/>
      <c r="J360" s="116"/>
      <c r="K360" s="115"/>
      <c r="L360" s="116"/>
      <c r="M360" s="117"/>
      <c r="N360" s="118">
        <f>IF(A360&gt;Dados!$C$16,0,IF(A360=Dados!$C$16,1,SUMIF($A$3:$A$500,CONCATENATE("&gt;",TEXT(DATEVALUE(TEXT(A360,"dd/mm/aaaa")),0)),$M$3:$M$500)-SUMIF($A$3:$A$500,CONCATENATE("&gt;",TEXT(Dados!$C$16-1,0)),$M$3:$M$500)+1%))</f>
        <v>0</v>
      </c>
      <c r="O360" s="119"/>
      <c r="P360" s="120">
        <f t="shared" si="77"/>
        <v>0</v>
      </c>
      <c r="Q360" s="119"/>
      <c r="R360" s="120">
        <f t="shared" si="78"/>
        <v>0</v>
      </c>
      <c r="S360" s="119"/>
      <c r="T360" s="120">
        <f t="shared" si="79"/>
        <v>0</v>
      </c>
      <c r="AG360" s="121">
        <f t="shared" si="83"/>
      </c>
      <c r="AH360" s="121">
        <f t="shared" si="84"/>
      </c>
      <c r="AI360" s="121">
        <f t="shared" si="85"/>
      </c>
      <c r="AJ360" s="121">
        <f t="shared" si="86"/>
      </c>
      <c r="AK360" s="121">
        <f t="shared" si="87"/>
      </c>
    </row>
    <row r="361" spans="1:37" ht="15">
      <c r="A361" s="113">
        <v>45413</v>
      </c>
      <c r="B361" s="113" t="e">
        <f t="shared" si="88"/>
        <v>#N/A</v>
      </c>
      <c r="C361" s="108" t="e">
        <f t="shared" si="76"/>
        <v>#N/A</v>
      </c>
      <c r="D361" s="114">
        <f t="shared" si="80"/>
        <v>0</v>
      </c>
      <c r="E361" s="114" t="e">
        <f t="shared" si="89"/>
        <v>#N/A</v>
      </c>
      <c r="F361" s="108" t="e">
        <f t="shared" si="81"/>
        <v>#N/A</v>
      </c>
      <c r="G361" s="114">
        <f t="shared" si="82"/>
        <v>0</v>
      </c>
      <c r="H361" s="110">
        <v>361</v>
      </c>
      <c r="I361" s="115"/>
      <c r="J361" s="116"/>
      <c r="K361" s="115"/>
      <c r="L361" s="116"/>
      <c r="M361" s="117"/>
      <c r="N361" s="118">
        <f>IF(A361&gt;Dados!$C$16,0,IF(A361=Dados!$C$16,1,SUMIF($A$3:$A$500,CONCATENATE("&gt;",TEXT(DATEVALUE(TEXT(A361,"dd/mm/aaaa")),0)),$M$3:$M$500)-SUMIF($A$3:$A$500,CONCATENATE("&gt;",TEXT(Dados!$C$16-1,0)),$M$3:$M$500)+1%))</f>
        <v>0</v>
      </c>
      <c r="O361" s="119"/>
      <c r="P361" s="120">
        <f t="shared" si="77"/>
        <v>0</v>
      </c>
      <c r="Q361" s="119"/>
      <c r="R361" s="120">
        <f t="shared" si="78"/>
        <v>0</v>
      </c>
      <c r="S361" s="119"/>
      <c r="T361" s="120">
        <f t="shared" si="79"/>
        <v>0</v>
      </c>
      <c r="AG361" s="121">
        <f t="shared" si="83"/>
      </c>
      <c r="AH361" s="121">
        <f t="shared" si="84"/>
      </c>
      <c r="AI361" s="121">
        <f t="shared" si="85"/>
      </c>
      <c r="AJ361" s="121">
        <f t="shared" si="86"/>
      </c>
      <c r="AK361" s="121">
        <f t="shared" si="87"/>
      </c>
    </row>
    <row r="362" spans="1:37" ht="15">
      <c r="A362" s="113">
        <v>45444</v>
      </c>
      <c r="B362" s="113" t="e">
        <f t="shared" si="88"/>
        <v>#N/A</v>
      </c>
      <c r="C362" s="108" t="e">
        <f t="shared" si="76"/>
        <v>#N/A</v>
      </c>
      <c r="D362" s="114">
        <f t="shared" si="80"/>
        <v>0</v>
      </c>
      <c r="E362" s="114" t="e">
        <f t="shared" si="89"/>
        <v>#N/A</v>
      </c>
      <c r="F362" s="108" t="e">
        <f t="shared" si="81"/>
        <v>#N/A</v>
      </c>
      <c r="G362" s="114">
        <f t="shared" si="82"/>
        <v>0</v>
      </c>
      <c r="H362" s="110">
        <v>362</v>
      </c>
      <c r="I362" s="115"/>
      <c r="J362" s="116"/>
      <c r="K362" s="115"/>
      <c r="L362" s="116"/>
      <c r="M362" s="117"/>
      <c r="N362" s="118">
        <f>IF(A362&gt;Dados!$C$16,0,IF(A362=Dados!$C$16,1,SUMIF($A$3:$A$500,CONCATENATE("&gt;",TEXT(DATEVALUE(TEXT(A362,"dd/mm/aaaa")),0)),$M$3:$M$500)-SUMIF($A$3:$A$500,CONCATENATE("&gt;",TEXT(Dados!$C$16-1,0)),$M$3:$M$500)+1%))</f>
        <v>0</v>
      </c>
      <c r="O362" s="119"/>
      <c r="P362" s="120">
        <f t="shared" si="77"/>
        <v>0</v>
      </c>
      <c r="Q362" s="119"/>
      <c r="R362" s="120">
        <f t="shared" si="78"/>
        <v>0</v>
      </c>
      <c r="S362" s="119"/>
      <c r="T362" s="120">
        <f t="shared" si="79"/>
        <v>0</v>
      </c>
      <c r="AG362" s="121">
        <f t="shared" si="83"/>
      </c>
      <c r="AH362" s="121">
        <f t="shared" si="84"/>
      </c>
      <c r="AI362" s="121">
        <f t="shared" si="85"/>
      </c>
      <c r="AJ362" s="121">
        <f t="shared" si="86"/>
      </c>
      <c r="AK362" s="121">
        <f t="shared" si="87"/>
      </c>
    </row>
    <row r="363" spans="1:37" ht="15">
      <c r="A363" s="113">
        <v>45474</v>
      </c>
      <c r="B363" s="113" t="e">
        <f t="shared" si="88"/>
        <v>#N/A</v>
      </c>
      <c r="C363" s="108" t="e">
        <f t="shared" si="76"/>
        <v>#N/A</v>
      </c>
      <c r="D363" s="114">
        <f t="shared" si="80"/>
        <v>0</v>
      </c>
      <c r="E363" s="114" t="e">
        <f t="shared" si="89"/>
        <v>#N/A</v>
      </c>
      <c r="F363" s="108" t="e">
        <f t="shared" si="81"/>
        <v>#N/A</v>
      </c>
      <c r="G363" s="114">
        <f t="shared" si="82"/>
        <v>0</v>
      </c>
      <c r="H363" s="110">
        <v>363</v>
      </c>
      <c r="I363" s="115"/>
      <c r="J363" s="116"/>
      <c r="K363" s="115"/>
      <c r="L363" s="116"/>
      <c r="M363" s="117"/>
      <c r="N363" s="118">
        <f>IF(A363&gt;Dados!$C$16,0,IF(A363=Dados!$C$16,1,SUMIF($A$3:$A$500,CONCATENATE("&gt;",TEXT(DATEVALUE(TEXT(A363,"dd/mm/aaaa")),0)),$M$3:$M$500)-SUMIF($A$3:$A$500,CONCATENATE("&gt;",TEXT(Dados!$C$16-1,0)),$M$3:$M$500)+1%))</f>
        <v>0</v>
      </c>
      <c r="O363" s="119"/>
      <c r="P363" s="120">
        <f t="shared" si="77"/>
        <v>0</v>
      </c>
      <c r="Q363" s="119"/>
      <c r="R363" s="120">
        <f t="shared" si="78"/>
        <v>0</v>
      </c>
      <c r="S363" s="119"/>
      <c r="T363" s="120">
        <f t="shared" si="79"/>
        <v>0</v>
      </c>
      <c r="AG363" s="121">
        <f t="shared" si="83"/>
      </c>
      <c r="AH363" s="121">
        <f t="shared" si="84"/>
      </c>
      <c r="AI363" s="121">
        <f t="shared" si="85"/>
      </c>
      <c r="AJ363" s="121">
        <f t="shared" si="86"/>
      </c>
      <c r="AK363" s="121">
        <f t="shared" si="87"/>
      </c>
    </row>
    <row r="364" spans="1:37" ht="15">
      <c r="A364" s="113">
        <v>45505</v>
      </c>
      <c r="B364" s="113" t="e">
        <f t="shared" si="88"/>
        <v>#N/A</v>
      </c>
      <c r="C364" s="108" t="e">
        <f t="shared" si="76"/>
        <v>#N/A</v>
      </c>
      <c r="D364" s="114">
        <f t="shared" si="80"/>
        <v>0</v>
      </c>
      <c r="E364" s="114" t="e">
        <f t="shared" si="89"/>
        <v>#N/A</v>
      </c>
      <c r="F364" s="108" t="e">
        <f t="shared" si="81"/>
        <v>#N/A</v>
      </c>
      <c r="G364" s="114">
        <f t="shared" si="82"/>
        <v>0</v>
      </c>
      <c r="H364" s="110">
        <v>364</v>
      </c>
      <c r="I364" s="115"/>
      <c r="J364" s="116"/>
      <c r="K364" s="115"/>
      <c r="L364" s="116"/>
      <c r="M364" s="117"/>
      <c r="N364" s="118">
        <f>IF(A364&gt;Dados!$C$16,0,IF(A364=Dados!$C$16,1,SUMIF($A$3:$A$500,CONCATENATE("&gt;",TEXT(DATEVALUE(TEXT(A364,"dd/mm/aaaa")),0)),$M$3:$M$500)-SUMIF($A$3:$A$500,CONCATENATE("&gt;",TEXT(Dados!$C$16-1,0)),$M$3:$M$500)+1%))</f>
        <v>0</v>
      </c>
      <c r="O364" s="119"/>
      <c r="P364" s="120">
        <f t="shared" si="77"/>
        <v>0</v>
      </c>
      <c r="Q364" s="119"/>
      <c r="R364" s="120">
        <f t="shared" si="78"/>
        <v>0</v>
      </c>
      <c r="S364" s="119"/>
      <c r="T364" s="120">
        <f t="shared" si="79"/>
        <v>0</v>
      </c>
      <c r="AG364" s="121">
        <f t="shared" si="83"/>
      </c>
      <c r="AH364" s="121">
        <f t="shared" si="84"/>
      </c>
      <c r="AI364" s="121">
        <f t="shared" si="85"/>
      </c>
      <c r="AJ364" s="121">
        <f t="shared" si="86"/>
      </c>
      <c r="AK364" s="121">
        <f t="shared" si="87"/>
      </c>
    </row>
    <row r="365" spans="1:37" ht="15">
      <c r="A365" s="113">
        <v>45536</v>
      </c>
      <c r="B365" s="113" t="e">
        <f t="shared" si="88"/>
        <v>#N/A</v>
      </c>
      <c r="C365" s="108" t="e">
        <f t="shared" si="76"/>
        <v>#N/A</v>
      </c>
      <c r="D365" s="114">
        <f t="shared" si="80"/>
        <v>0</v>
      </c>
      <c r="E365" s="114" t="e">
        <f t="shared" si="89"/>
        <v>#N/A</v>
      </c>
      <c r="F365" s="108" t="e">
        <f t="shared" si="81"/>
        <v>#N/A</v>
      </c>
      <c r="G365" s="114">
        <f t="shared" si="82"/>
        <v>0</v>
      </c>
      <c r="H365" s="110">
        <v>365</v>
      </c>
      <c r="I365" s="115"/>
      <c r="J365" s="116"/>
      <c r="K365" s="115"/>
      <c r="L365" s="116"/>
      <c r="M365" s="117"/>
      <c r="N365" s="118">
        <f>IF(A365&gt;Dados!$C$16,0,IF(A365=Dados!$C$16,1,SUMIF($A$3:$A$500,CONCATENATE("&gt;",TEXT(DATEVALUE(TEXT(A365,"dd/mm/aaaa")),0)),$M$3:$M$500)-SUMIF($A$3:$A$500,CONCATENATE("&gt;",TEXT(Dados!$C$16-1,0)),$M$3:$M$500)+1%))</f>
        <v>0</v>
      </c>
      <c r="O365" s="119"/>
      <c r="P365" s="120">
        <f t="shared" si="77"/>
        <v>0</v>
      </c>
      <c r="Q365" s="119"/>
      <c r="R365" s="120">
        <f t="shared" si="78"/>
        <v>0</v>
      </c>
      <c r="S365" s="119"/>
      <c r="T365" s="120">
        <f t="shared" si="79"/>
        <v>0</v>
      </c>
      <c r="AG365" s="121">
        <f t="shared" si="83"/>
      </c>
      <c r="AH365" s="121">
        <f t="shared" si="84"/>
      </c>
      <c r="AI365" s="121">
        <f t="shared" si="85"/>
      </c>
      <c r="AJ365" s="121">
        <f t="shared" si="86"/>
      </c>
      <c r="AK365" s="121">
        <f t="shared" si="87"/>
      </c>
    </row>
    <row r="366" spans="1:37" ht="15">
      <c r="A366" s="113">
        <v>45566</v>
      </c>
      <c r="B366" s="113" t="e">
        <f t="shared" si="88"/>
        <v>#N/A</v>
      </c>
      <c r="C366" s="108" t="e">
        <f t="shared" si="76"/>
        <v>#N/A</v>
      </c>
      <c r="D366" s="114">
        <f t="shared" si="80"/>
        <v>0</v>
      </c>
      <c r="E366" s="114" t="e">
        <f t="shared" si="89"/>
        <v>#N/A</v>
      </c>
      <c r="F366" s="108" t="e">
        <f t="shared" si="81"/>
        <v>#N/A</v>
      </c>
      <c r="G366" s="114">
        <f t="shared" si="82"/>
        <v>0</v>
      </c>
      <c r="H366" s="110">
        <v>366</v>
      </c>
      <c r="I366" s="115"/>
      <c r="J366" s="116"/>
      <c r="K366" s="115"/>
      <c r="L366" s="116"/>
      <c r="M366" s="117"/>
      <c r="N366" s="118">
        <f>IF(A366&gt;Dados!$C$16,0,IF(A366=Dados!$C$16,1,SUMIF($A$3:$A$500,CONCATENATE("&gt;",TEXT(DATEVALUE(TEXT(A366,"dd/mm/aaaa")),0)),$M$3:$M$500)-SUMIF($A$3:$A$500,CONCATENATE("&gt;",TEXT(Dados!$C$16-1,0)),$M$3:$M$500)+1%))</f>
        <v>0</v>
      </c>
      <c r="O366" s="119"/>
      <c r="P366" s="120">
        <f t="shared" si="77"/>
        <v>0</v>
      </c>
      <c r="Q366" s="119"/>
      <c r="R366" s="120">
        <f t="shared" si="78"/>
        <v>0</v>
      </c>
      <c r="S366" s="119"/>
      <c r="T366" s="120">
        <f t="shared" si="79"/>
        <v>0</v>
      </c>
      <c r="AG366" s="121">
        <f t="shared" si="83"/>
      </c>
      <c r="AH366" s="121">
        <f t="shared" si="84"/>
      </c>
      <c r="AI366" s="121">
        <f t="shared" si="85"/>
      </c>
      <c r="AJ366" s="121">
        <f t="shared" si="86"/>
      </c>
      <c r="AK366" s="121">
        <f t="shared" si="87"/>
      </c>
    </row>
    <row r="367" spans="1:37" ht="15">
      <c r="A367" s="113">
        <v>45597</v>
      </c>
      <c r="B367" s="113" t="e">
        <f t="shared" si="88"/>
        <v>#N/A</v>
      </c>
      <c r="C367" s="108" t="e">
        <f t="shared" si="76"/>
        <v>#N/A</v>
      </c>
      <c r="D367" s="114">
        <f t="shared" si="80"/>
        <v>0</v>
      </c>
      <c r="E367" s="114" t="e">
        <f t="shared" si="89"/>
        <v>#N/A</v>
      </c>
      <c r="F367" s="108" t="e">
        <f t="shared" si="81"/>
        <v>#N/A</v>
      </c>
      <c r="G367" s="114">
        <f t="shared" si="82"/>
        <v>0</v>
      </c>
      <c r="H367" s="110">
        <v>367</v>
      </c>
      <c r="I367" s="115"/>
      <c r="J367" s="116"/>
      <c r="K367" s="115"/>
      <c r="L367" s="116"/>
      <c r="M367" s="117"/>
      <c r="N367" s="118">
        <f>IF(A367&gt;Dados!$C$16,0,IF(A367=Dados!$C$16,1,SUMIF($A$3:$A$500,CONCATENATE("&gt;",TEXT(DATEVALUE(TEXT(A367,"dd/mm/aaaa")),0)),$M$3:$M$500)-SUMIF($A$3:$A$500,CONCATENATE("&gt;",TEXT(Dados!$C$16-1,0)),$M$3:$M$500)+1%))</f>
        <v>0</v>
      </c>
      <c r="O367" s="119"/>
      <c r="P367" s="120">
        <f t="shared" si="77"/>
        <v>0</v>
      </c>
      <c r="Q367" s="119"/>
      <c r="R367" s="120">
        <f t="shared" si="78"/>
        <v>0</v>
      </c>
      <c r="S367" s="119"/>
      <c r="T367" s="120">
        <f t="shared" si="79"/>
        <v>0</v>
      </c>
      <c r="AG367" s="121">
        <f t="shared" si="83"/>
      </c>
      <c r="AH367" s="121">
        <f t="shared" si="84"/>
      </c>
      <c r="AI367" s="121">
        <f t="shared" si="85"/>
      </c>
      <c r="AJ367" s="121">
        <f t="shared" si="86"/>
      </c>
      <c r="AK367" s="121">
        <f t="shared" si="87"/>
      </c>
    </row>
    <row r="368" spans="1:37" ht="15">
      <c r="A368" s="113">
        <v>45627</v>
      </c>
      <c r="B368" s="113" t="e">
        <f t="shared" si="88"/>
        <v>#N/A</v>
      </c>
      <c r="C368" s="108" t="e">
        <f t="shared" si="76"/>
        <v>#N/A</v>
      </c>
      <c r="D368" s="114">
        <f t="shared" si="80"/>
        <v>0</v>
      </c>
      <c r="E368" s="114" t="e">
        <f t="shared" si="89"/>
        <v>#N/A</v>
      </c>
      <c r="F368" s="108" t="e">
        <f t="shared" si="81"/>
        <v>#N/A</v>
      </c>
      <c r="G368" s="114">
        <f t="shared" si="82"/>
        <v>0</v>
      </c>
      <c r="H368" s="110">
        <v>368</v>
      </c>
      <c r="I368" s="115"/>
      <c r="J368" s="116"/>
      <c r="K368" s="115"/>
      <c r="L368" s="116"/>
      <c r="M368" s="117"/>
      <c r="N368" s="118">
        <f>IF(A368&gt;Dados!$C$16,0,IF(A368=Dados!$C$16,1,SUMIF($A$3:$A$500,CONCATENATE("&gt;",TEXT(DATEVALUE(TEXT(A368,"dd/mm/aaaa")),0)),$M$3:$M$500)-SUMIF($A$3:$A$500,CONCATENATE("&gt;",TEXT(Dados!$C$16-1,0)),$M$3:$M$500)+1%))</f>
        <v>0</v>
      </c>
      <c r="O368" s="119"/>
      <c r="P368" s="120">
        <f t="shared" si="77"/>
        <v>0</v>
      </c>
      <c r="Q368" s="119"/>
      <c r="R368" s="120">
        <f t="shared" si="78"/>
        <v>0</v>
      </c>
      <c r="S368" s="119"/>
      <c r="T368" s="120">
        <f t="shared" si="79"/>
        <v>0</v>
      </c>
      <c r="AG368" s="121">
        <f t="shared" si="83"/>
      </c>
      <c r="AH368" s="121">
        <f t="shared" si="84"/>
      </c>
      <c r="AI368" s="121">
        <f t="shared" si="85"/>
      </c>
      <c r="AJ368" s="121">
        <f t="shared" si="86"/>
      </c>
      <c r="AK368" s="121">
        <f t="shared" si="87"/>
      </c>
    </row>
    <row r="369" spans="1:37" ht="15">
      <c r="A369" s="113">
        <v>45658</v>
      </c>
      <c r="B369" s="113" t="e">
        <f t="shared" si="88"/>
        <v>#N/A</v>
      </c>
      <c r="C369" s="108" t="e">
        <f t="shared" si="76"/>
        <v>#N/A</v>
      </c>
      <c r="D369" s="114">
        <f t="shared" si="80"/>
        <v>0</v>
      </c>
      <c r="E369" s="114" t="e">
        <f t="shared" si="89"/>
        <v>#N/A</v>
      </c>
      <c r="F369" s="108" t="e">
        <f t="shared" si="81"/>
        <v>#N/A</v>
      </c>
      <c r="G369" s="114">
        <f t="shared" si="82"/>
        <v>0</v>
      </c>
      <c r="H369" s="110">
        <v>369</v>
      </c>
      <c r="I369" s="115"/>
      <c r="J369" s="116"/>
      <c r="K369" s="115"/>
      <c r="L369" s="116"/>
      <c r="M369" s="117"/>
      <c r="N369" s="118">
        <f>IF(A369&gt;Dados!$C$16,0,IF(A369=Dados!$C$16,1,SUMIF($A$3:$A$500,CONCATENATE("&gt;",TEXT(DATEVALUE(TEXT(A369,"dd/mm/aaaa")),0)),$M$3:$M$500)-SUMIF($A$3:$A$500,CONCATENATE("&gt;",TEXT(Dados!$C$16-1,0)),$M$3:$M$500)+1%))</f>
        <v>0</v>
      </c>
      <c r="O369" s="119"/>
      <c r="P369" s="120">
        <f t="shared" si="77"/>
        <v>0</v>
      </c>
      <c r="Q369" s="119"/>
      <c r="R369" s="120">
        <f t="shared" si="78"/>
        <v>0</v>
      </c>
      <c r="S369" s="119"/>
      <c r="T369" s="120">
        <f t="shared" si="79"/>
        <v>0</v>
      </c>
      <c r="AG369" s="121">
        <f t="shared" si="83"/>
      </c>
      <c r="AH369" s="121">
        <f t="shared" si="84"/>
      </c>
      <c r="AI369" s="121">
        <f t="shared" si="85"/>
      </c>
      <c r="AJ369" s="121">
        <f t="shared" si="86"/>
      </c>
      <c r="AK369" s="121">
        <f t="shared" si="87"/>
      </c>
    </row>
    <row r="370" spans="1:37" ht="15">
      <c r="A370" s="113">
        <v>45689</v>
      </c>
      <c r="B370" s="113" t="e">
        <f t="shared" si="88"/>
        <v>#N/A</v>
      </c>
      <c r="C370" s="108" t="e">
        <f t="shared" si="76"/>
        <v>#N/A</v>
      </c>
      <c r="D370" s="114">
        <f t="shared" si="80"/>
        <v>0</v>
      </c>
      <c r="E370" s="114" t="e">
        <f t="shared" si="89"/>
        <v>#N/A</v>
      </c>
      <c r="F370" s="108" t="e">
        <f t="shared" si="81"/>
        <v>#N/A</v>
      </c>
      <c r="G370" s="114">
        <f t="shared" si="82"/>
        <v>0</v>
      </c>
      <c r="H370" s="110">
        <v>370</v>
      </c>
      <c r="I370" s="115"/>
      <c r="J370" s="116"/>
      <c r="K370" s="115"/>
      <c r="L370" s="116"/>
      <c r="M370" s="117"/>
      <c r="N370" s="118">
        <f>IF(A370&gt;Dados!$C$16,0,IF(A370=Dados!$C$16,1,SUMIF($A$3:$A$500,CONCATENATE("&gt;",TEXT(DATEVALUE(TEXT(A370,"dd/mm/aaaa")),0)),$M$3:$M$500)-SUMIF($A$3:$A$500,CONCATENATE("&gt;",TEXT(Dados!$C$16-1,0)),$M$3:$M$500)+1%))</f>
        <v>0</v>
      </c>
      <c r="O370" s="119"/>
      <c r="P370" s="120">
        <f t="shared" si="77"/>
        <v>0</v>
      </c>
      <c r="Q370" s="119"/>
      <c r="R370" s="120">
        <f t="shared" si="78"/>
        <v>0</v>
      </c>
      <c r="S370" s="119"/>
      <c r="T370" s="120">
        <f t="shared" si="79"/>
        <v>0</v>
      </c>
      <c r="AG370" s="121">
        <f t="shared" si="83"/>
      </c>
      <c r="AH370" s="121">
        <f t="shared" si="84"/>
      </c>
      <c r="AI370" s="121">
        <f t="shared" si="85"/>
      </c>
      <c r="AJ370" s="121">
        <f t="shared" si="86"/>
      </c>
      <c r="AK370" s="121">
        <f t="shared" si="87"/>
      </c>
    </row>
    <row r="371" spans="1:37" ht="15">
      <c r="A371" s="113">
        <v>45717</v>
      </c>
      <c r="B371" s="113" t="e">
        <f t="shared" si="88"/>
        <v>#N/A</v>
      </c>
      <c r="C371" s="108" t="e">
        <f t="shared" si="76"/>
        <v>#N/A</v>
      </c>
      <c r="D371" s="114">
        <f t="shared" si="80"/>
        <v>0</v>
      </c>
      <c r="E371" s="114" t="e">
        <f t="shared" si="89"/>
        <v>#N/A</v>
      </c>
      <c r="F371" s="108" t="e">
        <f t="shared" si="81"/>
        <v>#N/A</v>
      </c>
      <c r="G371" s="114">
        <f t="shared" si="82"/>
        <v>0</v>
      </c>
      <c r="H371" s="110">
        <v>371</v>
      </c>
      <c r="I371" s="115"/>
      <c r="J371" s="116"/>
      <c r="K371" s="115"/>
      <c r="L371" s="116"/>
      <c r="M371" s="117"/>
      <c r="N371" s="118">
        <f>IF(A371&gt;Dados!$C$16,0,IF(A371=Dados!$C$16,1,SUMIF($A$3:$A$500,CONCATENATE("&gt;",TEXT(DATEVALUE(TEXT(A371,"dd/mm/aaaa")),0)),$M$3:$M$500)-SUMIF($A$3:$A$500,CONCATENATE("&gt;",TEXT(Dados!$C$16-1,0)),$M$3:$M$500)+1%))</f>
        <v>0</v>
      </c>
      <c r="O371" s="119"/>
      <c r="P371" s="120">
        <f t="shared" si="77"/>
        <v>0</v>
      </c>
      <c r="Q371" s="119"/>
      <c r="R371" s="120">
        <f t="shared" si="78"/>
        <v>0</v>
      </c>
      <c r="S371" s="119"/>
      <c r="T371" s="120">
        <f t="shared" si="79"/>
        <v>0</v>
      </c>
      <c r="AG371" s="121">
        <f t="shared" si="83"/>
      </c>
      <c r="AH371" s="121">
        <f t="shared" si="84"/>
      </c>
      <c r="AI371" s="121">
        <f t="shared" si="85"/>
      </c>
      <c r="AJ371" s="121">
        <f t="shared" si="86"/>
      </c>
      <c r="AK371" s="121">
        <f t="shared" si="87"/>
      </c>
    </row>
    <row r="372" spans="1:37" ht="15">
      <c r="A372" s="113">
        <v>45748</v>
      </c>
      <c r="B372" s="113" t="e">
        <f t="shared" si="88"/>
        <v>#N/A</v>
      </c>
      <c r="C372" s="108" t="e">
        <f t="shared" si="76"/>
        <v>#N/A</v>
      </c>
      <c r="D372" s="114">
        <f t="shared" si="80"/>
        <v>0</v>
      </c>
      <c r="E372" s="114" t="e">
        <f t="shared" si="89"/>
        <v>#N/A</v>
      </c>
      <c r="F372" s="108" t="e">
        <f t="shared" si="81"/>
        <v>#N/A</v>
      </c>
      <c r="G372" s="114">
        <f t="shared" si="82"/>
        <v>0</v>
      </c>
      <c r="H372" s="110">
        <v>372</v>
      </c>
      <c r="I372" s="115"/>
      <c r="J372" s="116"/>
      <c r="K372" s="115"/>
      <c r="L372" s="116"/>
      <c r="M372" s="117"/>
      <c r="N372" s="118">
        <f>IF(A372&gt;Dados!$C$16,0,IF(A372=Dados!$C$16,1,SUMIF($A$3:$A$500,CONCATENATE("&gt;",TEXT(DATEVALUE(TEXT(A372,"dd/mm/aaaa")),0)),$M$3:$M$500)-SUMIF($A$3:$A$500,CONCATENATE("&gt;",TEXT(Dados!$C$16-1,0)),$M$3:$M$500)+1%))</f>
        <v>0</v>
      </c>
      <c r="O372" s="119"/>
      <c r="P372" s="120">
        <f t="shared" si="77"/>
        <v>0</v>
      </c>
      <c r="Q372" s="119"/>
      <c r="R372" s="120">
        <f t="shared" si="78"/>
        <v>0</v>
      </c>
      <c r="S372" s="119"/>
      <c r="T372" s="120">
        <f t="shared" si="79"/>
        <v>0</v>
      </c>
      <c r="AG372" s="121">
        <f t="shared" si="83"/>
      </c>
      <c r="AH372" s="121">
        <f t="shared" si="84"/>
      </c>
      <c r="AI372" s="121">
        <f t="shared" si="85"/>
      </c>
      <c r="AJ372" s="121">
        <f t="shared" si="86"/>
      </c>
      <c r="AK372" s="121">
        <f t="shared" si="87"/>
      </c>
    </row>
    <row r="373" spans="1:37" ht="15">
      <c r="A373" s="113">
        <v>45778</v>
      </c>
      <c r="B373" s="113" t="e">
        <f t="shared" si="88"/>
        <v>#N/A</v>
      </c>
      <c r="C373" s="108" t="e">
        <f t="shared" si="76"/>
        <v>#N/A</v>
      </c>
      <c r="D373" s="114">
        <f t="shared" si="80"/>
        <v>0</v>
      </c>
      <c r="E373" s="114" t="e">
        <f t="shared" si="89"/>
        <v>#N/A</v>
      </c>
      <c r="F373" s="108" t="e">
        <f t="shared" si="81"/>
        <v>#N/A</v>
      </c>
      <c r="G373" s="114">
        <f t="shared" si="82"/>
        <v>0</v>
      </c>
      <c r="H373" s="110">
        <v>373</v>
      </c>
      <c r="I373" s="115"/>
      <c r="J373" s="116"/>
      <c r="K373" s="115"/>
      <c r="L373" s="116"/>
      <c r="M373" s="117"/>
      <c r="N373" s="118">
        <f>IF(A373&gt;Dados!$C$16,0,IF(A373=Dados!$C$16,1,SUMIF($A$3:$A$500,CONCATENATE("&gt;",TEXT(DATEVALUE(TEXT(A373,"dd/mm/aaaa")),0)),$M$3:$M$500)-SUMIF($A$3:$A$500,CONCATENATE("&gt;",TEXT(Dados!$C$16-1,0)),$M$3:$M$500)+1%))</f>
        <v>0</v>
      </c>
      <c r="O373" s="119"/>
      <c r="P373" s="120">
        <f t="shared" si="77"/>
        <v>0</v>
      </c>
      <c r="Q373" s="119"/>
      <c r="R373" s="120">
        <f t="shared" si="78"/>
        <v>0</v>
      </c>
      <c r="S373" s="119"/>
      <c r="T373" s="120">
        <f t="shared" si="79"/>
        <v>0</v>
      </c>
      <c r="AG373" s="121">
        <f t="shared" si="83"/>
      </c>
      <c r="AH373" s="121">
        <f t="shared" si="84"/>
      </c>
      <c r="AI373" s="121">
        <f t="shared" si="85"/>
      </c>
      <c r="AJ373" s="121">
        <f t="shared" si="86"/>
      </c>
      <c r="AK373" s="121">
        <f t="shared" si="87"/>
      </c>
    </row>
    <row r="374" spans="1:37" ht="15">
      <c r="A374" s="113">
        <v>45809</v>
      </c>
      <c r="B374" s="113" t="e">
        <f t="shared" si="88"/>
        <v>#N/A</v>
      </c>
      <c r="C374" s="108" t="e">
        <f t="shared" si="76"/>
        <v>#N/A</v>
      </c>
      <c r="D374" s="114">
        <f t="shared" si="80"/>
        <v>0</v>
      </c>
      <c r="E374" s="114" t="e">
        <f t="shared" si="89"/>
        <v>#N/A</v>
      </c>
      <c r="F374" s="108" t="e">
        <f t="shared" si="81"/>
        <v>#N/A</v>
      </c>
      <c r="G374" s="114">
        <f t="shared" si="82"/>
        <v>0</v>
      </c>
      <c r="H374" s="110">
        <v>374</v>
      </c>
      <c r="I374" s="115"/>
      <c r="J374" s="116"/>
      <c r="K374" s="115"/>
      <c r="L374" s="116"/>
      <c r="M374" s="117"/>
      <c r="N374" s="118">
        <f>IF(A374&gt;Dados!$C$16,0,IF(A374=Dados!$C$16,1,SUMIF($A$3:$A$500,CONCATENATE("&gt;",TEXT(DATEVALUE(TEXT(A374,"dd/mm/aaaa")),0)),$M$3:$M$500)-SUMIF($A$3:$A$500,CONCATENATE("&gt;",TEXT(Dados!$C$16-1,0)),$M$3:$M$500)+1%))</f>
        <v>0</v>
      </c>
      <c r="O374" s="119"/>
      <c r="P374" s="120">
        <f t="shared" si="77"/>
        <v>0</v>
      </c>
      <c r="Q374" s="119"/>
      <c r="R374" s="120">
        <f t="shared" si="78"/>
        <v>0</v>
      </c>
      <c r="S374" s="119"/>
      <c r="T374" s="120">
        <f t="shared" si="79"/>
        <v>0</v>
      </c>
      <c r="AG374" s="121">
        <f t="shared" si="83"/>
      </c>
      <c r="AH374" s="121">
        <f t="shared" si="84"/>
      </c>
      <c r="AI374" s="121">
        <f t="shared" si="85"/>
      </c>
      <c r="AJ374" s="121">
        <f t="shared" si="86"/>
      </c>
      <c r="AK374" s="121">
        <f t="shared" si="87"/>
      </c>
    </row>
    <row r="375" spans="1:37" ht="15">
      <c r="A375" s="113">
        <v>45839</v>
      </c>
      <c r="B375" s="113" t="e">
        <f t="shared" si="88"/>
        <v>#N/A</v>
      </c>
      <c r="C375" s="108" t="e">
        <f t="shared" si="76"/>
        <v>#N/A</v>
      </c>
      <c r="D375" s="114">
        <f t="shared" si="80"/>
        <v>0</v>
      </c>
      <c r="E375" s="114" t="e">
        <f t="shared" si="89"/>
        <v>#N/A</v>
      </c>
      <c r="F375" s="108" t="e">
        <f t="shared" si="81"/>
        <v>#N/A</v>
      </c>
      <c r="G375" s="114">
        <f t="shared" si="82"/>
        <v>0</v>
      </c>
      <c r="H375" s="110">
        <v>375</v>
      </c>
      <c r="I375" s="115"/>
      <c r="J375" s="116"/>
      <c r="K375" s="115"/>
      <c r="L375" s="116"/>
      <c r="M375" s="117"/>
      <c r="N375" s="118">
        <f>IF(A375&gt;Dados!$C$16,0,IF(A375=Dados!$C$16,1,SUMIF($A$3:$A$500,CONCATENATE("&gt;",TEXT(DATEVALUE(TEXT(A375,"dd/mm/aaaa")),0)),$M$3:$M$500)-SUMIF($A$3:$A$500,CONCATENATE("&gt;",TEXT(Dados!$C$16-1,0)),$M$3:$M$500)+1%))</f>
        <v>0</v>
      </c>
      <c r="O375" s="119"/>
      <c r="P375" s="120">
        <f t="shared" si="77"/>
        <v>0</v>
      </c>
      <c r="Q375" s="119"/>
      <c r="R375" s="120">
        <f t="shared" si="78"/>
        <v>0</v>
      </c>
      <c r="S375" s="119"/>
      <c r="T375" s="120">
        <f t="shared" si="79"/>
        <v>0</v>
      </c>
      <c r="AG375" s="121">
        <f t="shared" si="83"/>
      </c>
      <c r="AH375" s="121">
        <f t="shared" si="84"/>
      </c>
      <c r="AI375" s="121">
        <f t="shared" si="85"/>
      </c>
      <c r="AJ375" s="121">
        <f t="shared" si="86"/>
      </c>
      <c r="AK375" s="121">
        <f t="shared" si="87"/>
      </c>
    </row>
    <row r="376" spans="1:37" ht="15">
      <c r="A376" s="113">
        <v>45870</v>
      </c>
      <c r="B376" s="113" t="e">
        <f t="shared" si="88"/>
        <v>#N/A</v>
      </c>
      <c r="C376" s="108" t="e">
        <f t="shared" si="76"/>
        <v>#N/A</v>
      </c>
      <c r="D376" s="114">
        <f t="shared" si="80"/>
        <v>0</v>
      </c>
      <c r="E376" s="114" t="e">
        <f t="shared" si="89"/>
        <v>#N/A</v>
      </c>
      <c r="F376" s="108" t="e">
        <f t="shared" si="81"/>
        <v>#N/A</v>
      </c>
      <c r="G376" s="114">
        <f t="shared" si="82"/>
        <v>0</v>
      </c>
      <c r="H376" s="110">
        <v>376</v>
      </c>
      <c r="I376" s="115"/>
      <c r="J376" s="116"/>
      <c r="K376" s="115"/>
      <c r="L376" s="116"/>
      <c r="M376" s="117"/>
      <c r="N376" s="118">
        <f>IF(A376&gt;Dados!$C$16,0,IF(A376=Dados!$C$16,1,SUMIF($A$3:$A$500,CONCATENATE("&gt;",TEXT(DATEVALUE(TEXT(A376,"dd/mm/aaaa")),0)),$M$3:$M$500)-SUMIF($A$3:$A$500,CONCATENATE("&gt;",TEXT(Dados!$C$16-1,0)),$M$3:$M$500)+1%))</f>
        <v>0</v>
      </c>
      <c r="O376" s="119"/>
      <c r="P376" s="120">
        <f t="shared" si="77"/>
        <v>0</v>
      </c>
      <c r="Q376" s="119"/>
      <c r="R376" s="120">
        <f t="shared" si="78"/>
        <v>0</v>
      </c>
      <c r="S376" s="119"/>
      <c r="T376" s="120">
        <f t="shared" si="79"/>
        <v>0</v>
      </c>
      <c r="AG376" s="121">
        <f t="shared" si="83"/>
      </c>
      <c r="AH376" s="121">
        <f t="shared" si="84"/>
      </c>
      <c r="AI376" s="121">
        <f t="shared" si="85"/>
      </c>
      <c r="AJ376" s="121">
        <f t="shared" si="86"/>
      </c>
      <c r="AK376" s="121">
        <f t="shared" si="87"/>
      </c>
    </row>
    <row r="377" spans="1:37" ht="15">
      <c r="A377" s="113">
        <v>45901</v>
      </c>
      <c r="B377" s="113" t="e">
        <f t="shared" si="88"/>
        <v>#N/A</v>
      </c>
      <c r="C377" s="108" t="e">
        <f t="shared" si="76"/>
        <v>#N/A</v>
      </c>
      <c r="D377" s="114">
        <f t="shared" si="80"/>
        <v>0</v>
      </c>
      <c r="E377" s="114" t="e">
        <f t="shared" si="89"/>
        <v>#N/A</v>
      </c>
      <c r="F377" s="108" t="e">
        <f t="shared" si="81"/>
        <v>#N/A</v>
      </c>
      <c r="G377" s="114">
        <f t="shared" si="82"/>
        <v>0</v>
      </c>
      <c r="H377" s="110">
        <v>377</v>
      </c>
      <c r="I377" s="115"/>
      <c r="J377" s="116"/>
      <c r="K377" s="115"/>
      <c r="L377" s="116"/>
      <c r="M377" s="117"/>
      <c r="N377" s="118">
        <f>IF(A377&gt;Dados!$C$16,0,IF(A377=Dados!$C$16,1,SUMIF($A$3:$A$500,CONCATENATE("&gt;",TEXT(DATEVALUE(TEXT(A377,"dd/mm/aaaa")),0)),$M$3:$M$500)-SUMIF($A$3:$A$500,CONCATENATE("&gt;",TEXT(Dados!$C$16-1,0)),$M$3:$M$500)+1%))</f>
        <v>0</v>
      </c>
      <c r="O377" s="119"/>
      <c r="P377" s="120">
        <f t="shared" si="77"/>
        <v>0</v>
      </c>
      <c r="Q377" s="119"/>
      <c r="R377" s="120">
        <f t="shared" si="78"/>
        <v>0</v>
      </c>
      <c r="S377" s="119"/>
      <c r="T377" s="120">
        <f t="shared" si="79"/>
        <v>0</v>
      </c>
      <c r="AG377" s="121">
        <f t="shared" si="83"/>
      </c>
      <c r="AH377" s="121">
        <f t="shared" si="84"/>
      </c>
      <c r="AI377" s="121">
        <f t="shared" si="85"/>
      </c>
      <c r="AJ377" s="121">
        <f t="shared" si="86"/>
      </c>
      <c r="AK377" s="121">
        <f t="shared" si="87"/>
      </c>
    </row>
    <row r="378" spans="1:37" ht="15">
      <c r="A378" s="113">
        <v>45931</v>
      </c>
      <c r="B378" s="113" t="e">
        <f t="shared" si="88"/>
        <v>#N/A</v>
      </c>
      <c r="C378" s="108" t="e">
        <f t="shared" si="76"/>
        <v>#N/A</v>
      </c>
      <c r="D378" s="114">
        <f t="shared" si="80"/>
        <v>0</v>
      </c>
      <c r="E378" s="114" t="e">
        <f t="shared" si="89"/>
        <v>#N/A</v>
      </c>
      <c r="F378" s="108" t="e">
        <f t="shared" si="81"/>
        <v>#N/A</v>
      </c>
      <c r="G378" s="114">
        <f t="shared" si="82"/>
        <v>0</v>
      </c>
      <c r="H378" s="110">
        <v>378</v>
      </c>
      <c r="I378" s="115"/>
      <c r="J378" s="116"/>
      <c r="K378" s="115"/>
      <c r="L378" s="116"/>
      <c r="M378" s="117"/>
      <c r="N378" s="118">
        <f>IF(A378&gt;Dados!$C$16,0,IF(A378=Dados!$C$16,1,SUMIF($A$3:$A$500,CONCATENATE("&gt;",TEXT(DATEVALUE(TEXT(A378,"dd/mm/aaaa")),0)),$M$3:$M$500)-SUMIF($A$3:$A$500,CONCATENATE("&gt;",TEXT(Dados!$C$16-1,0)),$M$3:$M$500)+1%))</f>
        <v>0</v>
      </c>
      <c r="O378" s="119"/>
      <c r="P378" s="120">
        <f t="shared" si="77"/>
        <v>0</v>
      </c>
      <c r="Q378" s="119"/>
      <c r="R378" s="120">
        <f t="shared" si="78"/>
        <v>0</v>
      </c>
      <c r="S378" s="119"/>
      <c r="T378" s="120">
        <f t="shared" si="79"/>
        <v>0</v>
      </c>
      <c r="AG378" s="121">
        <f t="shared" si="83"/>
      </c>
      <c r="AH378" s="121">
        <f t="shared" si="84"/>
      </c>
      <c r="AI378" s="121">
        <f t="shared" si="85"/>
      </c>
      <c r="AJ378" s="121">
        <f t="shared" si="86"/>
      </c>
      <c r="AK378" s="121">
        <f t="shared" si="87"/>
      </c>
    </row>
    <row r="379" spans="1:37" ht="15">
      <c r="A379" s="113">
        <v>45962</v>
      </c>
      <c r="B379" s="113" t="e">
        <f t="shared" si="88"/>
        <v>#N/A</v>
      </c>
      <c r="C379" s="108" t="e">
        <f t="shared" si="76"/>
        <v>#N/A</v>
      </c>
      <c r="D379" s="114">
        <f t="shared" si="80"/>
        <v>0</v>
      </c>
      <c r="E379" s="114" t="e">
        <f t="shared" si="89"/>
        <v>#N/A</v>
      </c>
      <c r="F379" s="108" t="e">
        <f t="shared" si="81"/>
        <v>#N/A</v>
      </c>
      <c r="G379" s="114">
        <f t="shared" si="82"/>
        <v>0</v>
      </c>
      <c r="H379" s="110">
        <v>379</v>
      </c>
      <c r="I379" s="115"/>
      <c r="J379" s="116"/>
      <c r="K379" s="115"/>
      <c r="L379" s="116"/>
      <c r="M379" s="117"/>
      <c r="N379" s="118">
        <f>IF(A379&gt;Dados!$C$16,0,IF(A379=Dados!$C$16,1,SUMIF($A$3:$A$500,CONCATENATE("&gt;",TEXT(DATEVALUE(TEXT(A379,"dd/mm/aaaa")),0)),$M$3:$M$500)-SUMIF($A$3:$A$500,CONCATENATE("&gt;",TEXT(Dados!$C$16-1,0)),$M$3:$M$500)+1%))</f>
        <v>0</v>
      </c>
      <c r="O379" s="119"/>
      <c r="P379" s="120">
        <f t="shared" si="77"/>
        <v>0</v>
      </c>
      <c r="Q379" s="119"/>
      <c r="R379" s="120">
        <f t="shared" si="78"/>
        <v>0</v>
      </c>
      <c r="S379" s="119"/>
      <c r="T379" s="120">
        <f t="shared" si="79"/>
        <v>0</v>
      </c>
      <c r="AG379" s="121">
        <f t="shared" si="83"/>
      </c>
      <c r="AH379" s="121">
        <f t="shared" si="84"/>
      </c>
      <c r="AI379" s="121">
        <f t="shared" si="85"/>
      </c>
      <c r="AJ379" s="121">
        <f t="shared" si="86"/>
      </c>
      <c r="AK379" s="121">
        <f t="shared" si="87"/>
      </c>
    </row>
    <row r="380" spans="1:37" ht="15">
      <c r="A380" s="113">
        <v>45992</v>
      </c>
      <c r="B380" s="113" t="e">
        <f t="shared" si="88"/>
        <v>#N/A</v>
      </c>
      <c r="C380" s="108" t="e">
        <f t="shared" si="76"/>
        <v>#N/A</v>
      </c>
      <c r="D380" s="114">
        <f t="shared" si="80"/>
        <v>0</v>
      </c>
      <c r="E380" s="114" t="e">
        <f t="shared" si="89"/>
        <v>#N/A</v>
      </c>
      <c r="F380" s="108" t="e">
        <f t="shared" si="81"/>
        <v>#N/A</v>
      </c>
      <c r="G380" s="114">
        <f t="shared" si="82"/>
        <v>0</v>
      </c>
      <c r="H380" s="110">
        <v>380</v>
      </c>
      <c r="I380" s="115"/>
      <c r="J380" s="116"/>
      <c r="K380" s="115"/>
      <c r="L380" s="116"/>
      <c r="M380" s="117"/>
      <c r="N380" s="118">
        <f>IF(A380&gt;Dados!$C$16,0,IF(A380=Dados!$C$16,1,SUMIF($A$3:$A$500,CONCATENATE("&gt;",TEXT(DATEVALUE(TEXT(A380,"dd/mm/aaaa")),0)),$M$3:$M$500)-SUMIF($A$3:$A$500,CONCATENATE("&gt;",TEXT(Dados!$C$16-1,0)),$M$3:$M$500)+1%))</f>
        <v>0</v>
      </c>
      <c r="O380" s="119"/>
      <c r="P380" s="120">
        <f t="shared" si="77"/>
        <v>0</v>
      </c>
      <c r="Q380" s="119"/>
      <c r="R380" s="120">
        <f t="shared" si="78"/>
        <v>0</v>
      </c>
      <c r="S380" s="119"/>
      <c r="T380" s="120">
        <f t="shared" si="79"/>
        <v>0</v>
      </c>
      <c r="AG380" s="121">
        <f t="shared" si="83"/>
      </c>
      <c r="AH380" s="121">
        <f t="shared" si="84"/>
      </c>
      <c r="AI380" s="121">
        <f t="shared" si="85"/>
      </c>
      <c r="AJ380" s="121">
        <f t="shared" si="86"/>
      </c>
      <c r="AK380" s="121">
        <f t="shared" si="87"/>
      </c>
    </row>
    <row r="381" spans="1:37" ht="15">
      <c r="A381" s="113">
        <v>46023</v>
      </c>
      <c r="B381" s="113" t="e">
        <f t="shared" si="88"/>
        <v>#N/A</v>
      </c>
      <c r="C381" s="108" t="e">
        <f t="shared" si="76"/>
        <v>#N/A</v>
      </c>
      <c r="D381" s="114">
        <f t="shared" si="80"/>
        <v>0</v>
      </c>
      <c r="E381" s="114" t="e">
        <f t="shared" si="89"/>
        <v>#N/A</v>
      </c>
      <c r="F381" s="108" t="e">
        <f t="shared" si="81"/>
        <v>#N/A</v>
      </c>
      <c r="G381" s="114">
        <f t="shared" si="82"/>
        <v>0</v>
      </c>
      <c r="H381" s="110">
        <v>381</v>
      </c>
      <c r="I381" s="115"/>
      <c r="J381" s="116"/>
      <c r="K381" s="115"/>
      <c r="L381" s="116"/>
      <c r="M381" s="117"/>
      <c r="N381" s="118">
        <f>IF(A381&gt;Dados!$C$16,0,IF(A381=Dados!$C$16,1,SUMIF($A$3:$A$500,CONCATENATE("&gt;",TEXT(DATEVALUE(TEXT(A381,"dd/mm/aaaa")),0)),$M$3:$M$500)-SUMIF($A$3:$A$500,CONCATENATE("&gt;",TEXT(Dados!$C$16-1,0)),$M$3:$M$500)+1%))</f>
        <v>0</v>
      </c>
      <c r="O381" s="119"/>
      <c r="P381" s="120">
        <f t="shared" si="77"/>
        <v>0</v>
      </c>
      <c r="Q381" s="119"/>
      <c r="R381" s="120">
        <f t="shared" si="78"/>
        <v>0</v>
      </c>
      <c r="S381" s="119"/>
      <c r="T381" s="120">
        <f t="shared" si="79"/>
        <v>0</v>
      </c>
      <c r="AG381" s="121">
        <f t="shared" si="83"/>
      </c>
      <c r="AH381" s="121">
        <f t="shared" si="84"/>
      </c>
      <c r="AI381" s="121">
        <f t="shared" si="85"/>
      </c>
      <c r="AJ381" s="121">
        <f t="shared" si="86"/>
      </c>
      <c r="AK381" s="121">
        <f t="shared" si="87"/>
      </c>
    </row>
    <row r="382" spans="1:37" ht="15">
      <c r="A382" s="113">
        <v>46054</v>
      </c>
      <c r="B382" s="113" t="e">
        <f t="shared" si="88"/>
        <v>#N/A</v>
      </c>
      <c r="C382" s="108" t="e">
        <f t="shared" si="76"/>
        <v>#N/A</v>
      </c>
      <c r="D382" s="114">
        <f t="shared" si="80"/>
        <v>0</v>
      </c>
      <c r="E382" s="114" t="e">
        <f t="shared" si="89"/>
        <v>#N/A</v>
      </c>
      <c r="F382" s="108" t="e">
        <f t="shared" si="81"/>
        <v>#N/A</v>
      </c>
      <c r="G382" s="114">
        <f t="shared" si="82"/>
        <v>0</v>
      </c>
      <c r="H382" s="110">
        <v>382</v>
      </c>
      <c r="I382" s="115"/>
      <c r="J382" s="116"/>
      <c r="K382" s="115"/>
      <c r="L382" s="116"/>
      <c r="M382" s="117"/>
      <c r="N382" s="118">
        <f>IF(A382&gt;Dados!$C$16,0,IF(A382=Dados!$C$16,1,SUMIF($A$3:$A$500,CONCATENATE("&gt;",TEXT(DATEVALUE(TEXT(A382,"dd/mm/aaaa")),0)),$M$3:$M$500)-SUMIF($A$3:$A$500,CONCATENATE("&gt;",TEXT(Dados!$C$16-1,0)),$M$3:$M$500)+1%))</f>
        <v>0</v>
      </c>
      <c r="O382" s="119"/>
      <c r="P382" s="120">
        <f t="shared" si="77"/>
        <v>0</v>
      </c>
      <c r="Q382" s="119"/>
      <c r="R382" s="120">
        <f t="shared" si="78"/>
        <v>0</v>
      </c>
      <c r="S382" s="119"/>
      <c r="T382" s="120">
        <f t="shared" si="79"/>
        <v>0</v>
      </c>
      <c r="AG382" s="121">
        <f t="shared" si="83"/>
      </c>
      <c r="AH382" s="121">
        <f t="shared" si="84"/>
      </c>
      <c r="AI382" s="121">
        <f t="shared" si="85"/>
      </c>
      <c r="AJ382" s="121">
        <f t="shared" si="86"/>
      </c>
      <c r="AK382" s="121">
        <f t="shared" si="87"/>
      </c>
    </row>
    <row r="383" spans="1:37" ht="15">
      <c r="A383" s="113">
        <v>46082</v>
      </c>
      <c r="B383" s="113" t="e">
        <f t="shared" si="88"/>
        <v>#N/A</v>
      </c>
      <c r="C383" s="108" t="e">
        <f t="shared" si="76"/>
        <v>#N/A</v>
      </c>
      <c r="D383" s="114">
        <f t="shared" si="80"/>
        <v>0</v>
      </c>
      <c r="E383" s="114" t="e">
        <f t="shared" si="89"/>
        <v>#N/A</v>
      </c>
      <c r="F383" s="108" t="e">
        <f t="shared" si="81"/>
        <v>#N/A</v>
      </c>
      <c r="G383" s="114">
        <f t="shared" si="82"/>
        <v>0</v>
      </c>
      <c r="H383" s="110">
        <v>383</v>
      </c>
      <c r="I383" s="115"/>
      <c r="J383" s="116"/>
      <c r="K383" s="115"/>
      <c r="L383" s="116"/>
      <c r="M383" s="117"/>
      <c r="N383" s="118">
        <f>IF(A383&gt;Dados!$C$16,0,IF(A383=Dados!$C$16,1,SUMIF($A$3:$A$500,CONCATENATE("&gt;",TEXT(DATEVALUE(TEXT(A383,"dd/mm/aaaa")),0)),$M$3:$M$500)-SUMIF($A$3:$A$500,CONCATENATE("&gt;",TEXT(Dados!$C$16-1,0)),$M$3:$M$500)+1%))</f>
        <v>0</v>
      </c>
      <c r="O383" s="119"/>
      <c r="P383" s="120">
        <f t="shared" si="77"/>
        <v>0</v>
      </c>
      <c r="Q383" s="119"/>
      <c r="R383" s="120">
        <f t="shared" si="78"/>
        <v>0</v>
      </c>
      <c r="S383" s="119"/>
      <c r="T383" s="120">
        <f t="shared" si="79"/>
        <v>0</v>
      </c>
      <c r="AG383" s="121">
        <f t="shared" si="83"/>
      </c>
      <c r="AH383" s="121">
        <f t="shared" si="84"/>
      </c>
      <c r="AI383" s="121">
        <f t="shared" si="85"/>
      </c>
      <c r="AJ383" s="121">
        <f t="shared" si="86"/>
      </c>
      <c r="AK383" s="121">
        <f t="shared" si="87"/>
      </c>
    </row>
    <row r="384" spans="1:37" ht="15">
      <c r="A384" s="113">
        <v>46113</v>
      </c>
      <c r="B384" s="113" t="e">
        <f t="shared" si="88"/>
        <v>#N/A</v>
      </c>
      <c r="C384" s="108" t="e">
        <f t="shared" si="76"/>
        <v>#N/A</v>
      </c>
      <c r="D384" s="114">
        <f t="shared" si="80"/>
        <v>0</v>
      </c>
      <c r="E384" s="114" t="e">
        <f t="shared" si="89"/>
        <v>#N/A</v>
      </c>
      <c r="F384" s="108" t="e">
        <f t="shared" si="81"/>
        <v>#N/A</v>
      </c>
      <c r="G384" s="114">
        <f t="shared" si="82"/>
        <v>0</v>
      </c>
      <c r="H384" s="110">
        <v>384</v>
      </c>
      <c r="I384" s="115"/>
      <c r="J384" s="116"/>
      <c r="K384" s="115"/>
      <c r="L384" s="116"/>
      <c r="M384" s="117"/>
      <c r="N384" s="118">
        <f>IF(A384&gt;Dados!$C$16,0,IF(A384=Dados!$C$16,1,SUMIF($A$3:$A$500,CONCATENATE("&gt;",TEXT(DATEVALUE(TEXT(A384,"dd/mm/aaaa")),0)),$M$3:$M$500)-SUMIF($A$3:$A$500,CONCATENATE("&gt;",TEXT(Dados!$C$16-1,0)),$M$3:$M$500)+1%))</f>
        <v>0</v>
      </c>
      <c r="O384" s="119"/>
      <c r="P384" s="120">
        <f t="shared" si="77"/>
        <v>0</v>
      </c>
      <c r="Q384" s="119"/>
      <c r="R384" s="120">
        <f t="shared" si="78"/>
        <v>0</v>
      </c>
      <c r="S384" s="119"/>
      <c r="T384" s="120">
        <f t="shared" si="79"/>
        <v>0</v>
      </c>
      <c r="AG384" s="121">
        <f t="shared" si="83"/>
      </c>
      <c r="AH384" s="121">
        <f t="shared" si="84"/>
      </c>
      <c r="AI384" s="121">
        <f t="shared" si="85"/>
      </c>
      <c r="AJ384" s="121">
        <f t="shared" si="86"/>
      </c>
      <c r="AK384" s="121">
        <f t="shared" si="87"/>
      </c>
    </row>
    <row r="385" spans="1:37" ht="15">
      <c r="A385" s="113">
        <v>46143</v>
      </c>
      <c r="B385" s="113" t="e">
        <f t="shared" si="88"/>
        <v>#N/A</v>
      </c>
      <c r="C385" s="108" t="e">
        <f t="shared" si="76"/>
        <v>#N/A</v>
      </c>
      <c r="D385" s="114">
        <f t="shared" si="80"/>
        <v>0</v>
      </c>
      <c r="E385" s="114" t="e">
        <f t="shared" si="89"/>
        <v>#N/A</v>
      </c>
      <c r="F385" s="108" t="e">
        <f t="shared" si="81"/>
        <v>#N/A</v>
      </c>
      <c r="G385" s="114">
        <f t="shared" si="82"/>
        <v>0</v>
      </c>
      <c r="H385" s="110">
        <v>385</v>
      </c>
      <c r="I385" s="115"/>
      <c r="J385" s="116"/>
      <c r="K385" s="115"/>
      <c r="L385" s="116"/>
      <c r="M385" s="117"/>
      <c r="N385" s="118">
        <f>IF(A385&gt;Dados!$C$16,0,IF(A385=Dados!$C$16,1,SUMIF($A$3:$A$500,CONCATENATE("&gt;",TEXT(DATEVALUE(TEXT(A385,"dd/mm/aaaa")),0)),$M$3:$M$500)-SUMIF($A$3:$A$500,CONCATENATE("&gt;",TEXT(Dados!$C$16-1,0)),$M$3:$M$500)+1%))</f>
        <v>0</v>
      </c>
      <c r="O385" s="119"/>
      <c r="P385" s="120">
        <f t="shared" si="77"/>
        <v>0</v>
      </c>
      <c r="Q385" s="119"/>
      <c r="R385" s="120">
        <f t="shared" si="78"/>
        <v>0</v>
      </c>
      <c r="S385" s="119"/>
      <c r="T385" s="120">
        <f t="shared" si="79"/>
        <v>0</v>
      </c>
      <c r="AG385" s="121">
        <f t="shared" si="83"/>
      </c>
      <c r="AH385" s="121">
        <f t="shared" si="84"/>
      </c>
      <c r="AI385" s="121">
        <f t="shared" si="85"/>
      </c>
      <c r="AJ385" s="121">
        <f t="shared" si="86"/>
      </c>
      <c r="AK385" s="121">
        <f t="shared" si="87"/>
      </c>
    </row>
    <row r="386" spans="1:37" ht="15">
      <c r="A386" s="113">
        <v>46174</v>
      </c>
      <c r="B386" s="113" t="e">
        <f t="shared" si="88"/>
        <v>#N/A</v>
      </c>
      <c r="C386" s="108" t="e">
        <f t="shared" si="76"/>
        <v>#N/A</v>
      </c>
      <c r="D386" s="114">
        <f t="shared" si="80"/>
        <v>0</v>
      </c>
      <c r="E386" s="114" t="e">
        <f t="shared" si="89"/>
        <v>#N/A</v>
      </c>
      <c r="F386" s="108" t="e">
        <f t="shared" si="81"/>
        <v>#N/A</v>
      </c>
      <c r="G386" s="114">
        <f t="shared" si="82"/>
        <v>0</v>
      </c>
      <c r="H386" s="110">
        <v>386</v>
      </c>
      <c r="I386" s="115"/>
      <c r="J386" s="116"/>
      <c r="K386" s="115"/>
      <c r="L386" s="116"/>
      <c r="M386" s="117"/>
      <c r="N386" s="118">
        <f>IF(A386&gt;Dados!$C$16,0,IF(A386=Dados!$C$16,1,SUMIF($A$3:$A$500,CONCATENATE("&gt;",TEXT(DATEVALUE(TEXT(A386,"dd/mm/aaaa")),0)),$M$3:$M$500)-SUMIF($A$3:$A$500,CONCATENATE("&gt;",TEXT(Dados!$C$16-1,0)),$M$3:$M$500)+1%))</f>
        <v>0</v>
      </c>
      <c r="O386" s="119"/>
      <c r="P386" s="120">
        <f t="shared" si="77"/>
        <v>0</v>
      </c>
      <c r="Q386" s="119"/>
      <c r="R386" s="120">
        <f t="shared" si="78"/>
        <v>0</v>
      </c>
      <c r="S386" s="119"/>
      <c r="T386" s="120">
        <f t="shared" si="79"/>
        <v>0</v>
      </c>
      <c r="AG386" s="121">
        <f t="shared" si="83"/>
      </c>
      <c r="AH386" s="121">
        <f t="shared" si="84"/>
      </c>
      <c r="AI386" s="121">
        <f t="shared" si="85"/>
      </c>
      <c r="AJ386" s="121">
        <f t="shared" si="86"/>
      </c>
      <c r="AK386" s="121">
        <f t="shared" si="87"/>
      </c>
    </row>
    <row r="387" spans="1:37" ht="15">
      <c r="A387" s="113">
        <v>46204</v>
      </c>
      <c r="B387" s="113" t="e">
        <f t="shared" si="88"/>
        <v>#N/A</v>
      </c>
      <c r="C387" s="108" t="e">
        <f aca="true" t="shared" si="90" ref="C387:C450">IF(B387="IPCA-E",I387,IF(B387="INPC",J387,IF(B387="TR",K387,IF(B387="IGP-DI",L387,0))))</f>
        <v>#N/A</v>
      </c>
      <c r="D387" s="114">
        <f t="shared" si="80"/>
        <v>0</v>
      </c>
      <c r="E387" s="114" t="e">
        <f t="shared" si="89"/>
        <v>#N/A</v>
      </c>
      <c r="F387" s="108" t="e">
        <f t="shared" si="81"/>
        <v>#N/A</v>
      </c>
      <c r="G387" s="114">
        <f t="shared" si="82"/>
        <v>0</v>
      </c>
      <c r="H387" s="110">
        <v>387</v>
      </c>
      <c r="I387" s="115"/>
      <c r="J387" s="116"/>
      <c r="K387" s="115"/>
      <c r="L387" s="116"/>
      <c r="M387" s="117"/>
      <c r="N387" s="118">
        <f>IF(A387&gt;Dados!$C$16,0,IF(A387=Dados!$C$16,1,SUMIF($A$3:$A$500,CONCATENATE("&gt;",TEXT(DATEVALUE(TEXT(A387,"dd/mm/aaaa")),0)),$M$3:$M$500)-SUMIF($A$3:$A$500,CONCATENATE("&gt;",TEXT(Dados!$C$16-1,0)),$M$3:$M$500)+1%))</f>
        <v>0</v>
      </c>
      <c r="O387" s="119"/>
      <c r="P387" s="120">
        <f aca="true" t="shared" si="91" ref="P387:P450">O388+P388</f>
        <v>0</v>
      </c>
      <c r="Q387" s="119"/>
      <c r="R387" s="120">
        <f aca="true" t="shared" si="92" ref="R387:R450">Q388+R388</f>
        <v>0</v>
      </c>
      <c r="S387" s="119"/>
      <c r="T387" s="120">
        <f aca="true" t="shared" si="93" ref="T387:T450">S388+T388</f>
        <v>0</v>
      </c>
      <c r="AG387" s="121">
        <f t="shared" si="83"/>
      </c>
      <c r="AH387" s="121">
        <f t="shared" si="84"/>
      </c>
      <c r="AI387" s="121">
        <f t="shared" si="85"/>
      </c>
      <c r="AJ387" s="121">
        <f t="shared" si="86"/>
      </c>
      <c r="AK387" s="121">
        <f t="shared" si="87"/>
      </c>
    </row>
    <row r="388" spans="1:37" ht="15">
      <c r="A388" s="113">
        <v>46235</v>
      </c>
      <c r="B388" s="113" t="e">
        <f t="shared" si="88"/>
        <v>#N/A</v>
      </c>
      <c r="C388" s="108" t="e">
        <f t="shared" si="90"/>
        <v>#N/A</v>
      </c>
      <c r="D388" s="114">
        <f aca="true" t="shared" si="94" ref="D388:D451">IF(A388&gt;$D$2,0,IF(A388=$D$2,1,D389*(1+C388)))</f>
        <v>0</v>
      </c>
      <c r="E388" s="114" t="e">
        <f t="shared" si="89"/>
        <v>#N/A</v>
      </c>
      <c r="F388" s="108" t="e">
        <f aca="true" t="shared" si="95" ref="F388:F451">IF(E388="IPCA-E",I388,IF(E388="INPC",J388,IF(E388="TR",K388,IF(E388="IGP-DI",L388,IF(E388="SELIC",M388,N388)))))</f>
        <v>#N/A</v>
      </c>
      <c r="G388" s="114">
        <f aca="true" t="shared" si="96" ref="G388:G451">IF(A388&gt;$G$2,0,IF(A388=$G$2,1,G389*(1+F388)))</f>
        <v>0</v>
      </c>
      <c r="H388" s="110">
        <v>388</v>
      </c>
      <c r="I388" s="115"/>
      <c r="J388" s="116"/>
      <c r="K388" s="115"/>
      <c r="L388" s="116"/>
      <c r="M388" s="117"/>
      <c r="N388" s="118">
        <f>IF(A388&gt;Dados!$C$16,0,IF(A388=Dados!$C$16,1,SUMIF($A$3:$A$500,CONCATENATE("&gt;",TEXT(DATEVALUE(TEXT(A388,"dd/mm/aaaa")),0)),$M$3:$M$500)-SUMIF($A$3:$A$500,CONCATENATE("&gt;",TEXT(Dados!$C$16-1,0)),$M$3:$M$500)+1%))</f>
        <v>0</v>
      </c>
      <c r="O388" s="119"/>
      <c r="P388" s="120">
        <f t="shared" si="91"/>
        <v>0</v>
      </c>
      <c r="Q388" s="119"/>
      <c r="R388" s="120">
        <f t="shared" si="92"/>
        <v>0</v>
      </c>
      <c r="S388" s="119"/>
      <c r="T388" s="120">
        <f t="shared" si="93"/>
        <v>0</v>
      </c>
      <c r="AG388" s="121">
        <f aca="true" t="shared" si="97" ref="AG388:AG451">IF(OR(L388&lt;&gt;0,AD388=1),$A388,"")</f>
      </c>
      <c r="AH388" s="121">
        <f aca="true" t="shared" si="98" ref="AH388:AH451">IF(OR(J388&lt;&gt;0,AB388=1),$A388,"")</f>
      </c>
      <c r="AI388" s="121">
        <f aca="true" t="shared" si="99" ref="AI388:AI451">IF(OR(I388&lt;&gt;0,AA388=1),$A388,"")</f>
      </c>
      <c r="AJ388" s="121">
        <f aca="true" t="shared" si="100" ref="AJ388:AJ451">IF(OR(M388&lt;&gt;0,AE388=1),$A388,"")</f>
      </c>
      <c r="AK388" s="121">
        <f aca="true" t="shared" si="101" ref="AK388:AK451">IF(OR(K388&lt;&gt;0,AC388=1),$A388,"")</f>
      </c>
    </row>
    <row r="389" spans="1:37" ht="15">
      <c r="A389" s="113">
        <v>46266</v>
      </c>
      <c r="B389" s="113" t="e">
        <f t="shared" si="88"/>
        <v>#N/A</v>
      </c>
      <c r="C389" s="108" t="e">
        <f t="shared" si="90"/>
        <v>#N/A</v>
      </c>
      <c r="D389" s="114">
        <f t="shared" si="94"/>
        <v>0</v>
      </c>
      <c r="E389" s="114" t="e">
        <f t="shared" si="89"/>
        <v>#N/A</v>
      </c>
      <c r="F389" s="108" t="e">
        <f t="shared" si="95"/>
        <v>#N/A</v>
      </c>
      <c r="G389" s="114">
        <f t="shared" si="96"/>
        <v>0</v>
      </c>
      <c r="H389" s="110">
        <v>389</v>
      </c>
      <c r="I389" s="115"/>
      <c r="J389" s="116"/>
      <c r="K389" s="115"/>
      <c r="L389" s="116"/>
      <c r="M389" s="117"/>
      <c r="N389" s="118">
        <f>IF(A389&gt;Dados!$C$16,0,IF(A389=Dados!$C$16,1,SUMIF($A$3:$A$500,CONCATENATE("&gt;",TEXT(DATEVALUE(TEXT(A389,"dd/mm/aaaa")),0)),$M$3:$M$500)-SUMIF($A$3:$A$500,CONCATENATE("&gt;",TEXT(Dados!$C$16-1,0)),$M$3:$M$500)+1%))</f>
        <v>0</v>
      </c>
      <c r="O389" s="119"/>
      <c r="P389" s="120">
        <f t="shared" si="91"/>
        <v>0</v>
      </c>
      <c r="Q389" s="119"/>
      <c r="R389" s="120">
        <f t="shared" si="92"/>
        <v>0</v>
      </c>
      <c r="S389" s="119"/>
      <c r="T389" s="120">
        <f t="shared" si="93"/>
        <v>0</v>
      </c>
      <c r="AG389" s="121">
        <f t="shared" si="97"/>
      </c>
      <c r="AH389" s="121">
        <f t="shared" si="98"/>
      </c>
      <c r="AI389" s="121">
        <f t="shared" si="99"/>
      </c>
      <c r="AJ389" s="121">
        <f t="shared" si="100"/>
      </c>
      <c r="AK389" s="121">
        <f t="shared" si="101"/>
      </c>
    </row>
    <row r="390" spans="1:37" ht="15">
      <c r="A390" s="113">
        <v>46296</v>
      </c>
      <c r="B390" s="113" t="e">
        <f t="shared" si="88"/>
        <v>#N/A</v>
      </c>
      <c r="C390" s="108" t="e">
        <f t="shared" si="90"/>
        <v>#N/A</v>
      </c>
      <c r="D390" s="114">
        <f t="shared" si="94"/>
        <v>0</v>
      </c>
      <c r="E390" s="114" t="e">
        <f t="shared" si="89"/>
        <v>#N/A</v>
      </c>
      <c r="F390" s="108" t="e">
        <f t="shared" si="95"/>
        <v>#N/A</v>
      </c>
      <c r="G390" s="114">
        <f t="shared" si="96"/>
        <v>0</v>
      </c>
      <c r="H390" s="110">
        <v>390</v>
      </c>
      <c r="I390" s="115"/>
      <c r="J390" s="116"/>
      <c r="K390" s="115"/>
      <c r="L390" s="116"/>
      <c r="M390" s="117"/>
      <c r="N390" s="118">
        <f>IF(A390&gt;Dados!$C$16,0,IF(A390=Dados!$C$16,1,SUMIF($A$3:$A$500,CONCATENATE("&gt;",TEXT(DATEVALUE(TEXT(A390,"dd/mm/aaaa")),0)),$M$3:$M$500)-SUMIF($A$3:$A$500,CONCATENATE("&gt;",TEXT(Dados!$C$16-1,0)),$M$3:$M$500)+1%))</f>
        <v>0</v>
      </c>
      <c r="O390" s="119"/>
      <c r="P390" s="120">
        <f t="shared" si="91"/>
        <v>0</v>
      </c>
      <c r="Q390" s="119"/>
      <c r="R390" s="120">
        <f t="shared" si="92"/>
        <v>0</v>
      </c>
      <c r="S390" s="119"/>
      <c r="T390" s="120">
        <f t="shared" si="93"/>
        <v>0</v>
      </c>
      <c r="AG390" s="121">
        <f t="shared" si="97"/>
      </c>
      <c r="AH390" s="121">
        <f t="shared" si="98"/>
      </c>
      <c r="AI390" s="121">
        <f t="shared" si="99"/>
      </c>
      <c r="AJ390" s="121">
        <f t="shared" si="100"/>
      </c>
      <c r="AK390" s="121">
        <f t="shared" si="101"/>
      </c>
    </row>
    <row r="391" spans="1:37" ht="15">
      <c r="A391" s="113">
        <v>46327</v>
      </c>
      <c r="B391" s="113" t="e">
        <f t="shared" si="88"/>
        <v>#N/A</v>
      </c>
      <c r="C391" s="108" t="e">
        <f t="shared" si="90"/>
        <v>#N/A</v>
      </c>
      <c r="D391" s="114">
        <f t="shared" si="94"/>
        <v>0</v>
      </c>
      <c r="E391" s="114" t="e">
        <f t="shared" si="89"/>
        <v>#N/A</v>
      </c>
      <c r="F391" s="108" t="e">
        <f t="shared" si="95"/>
        <v>#N/A</v>
      </c>
      <c r="G391" s="114">
        <f t="shared" si="96"/>
        <v>0</v>
      </c>
      <c r="H391" s="110">
        <v>391</v>
      </c>
      <c r="I391" s="115"/>
      <c r="J391" s="116"/>
      <c r="K391" s="115"/>
      <c r="L391" s="116"/>
      <c r="M391" s="117"/>
      <c r="N391" s="118">
        <f>IF(A391&gt;Dados!$C$16,0,IF(A391=Dados!$C$16,1,SUMIF($A$3:$A$500,CONCATENATE("&gt;",TEXT(DATEVALUE(TEXT(A391,"dd/mm/aaaa")),0)),$M$3:$M$500)-SUMIF($A$3:$A$500,CONCATENATE("&gt;",TEXT(Dados!$C$16-1,0)),$M$3:$M$500)+1%))</f>
        <v>0</v>
      </c>
      <c r="O391" s="119"/>
      <c r="P391" s="120">
        <f t="shared" si="91"/>
        <v>0</v>
      </c>
      <c r="Q391" s="119"/>
      <c r="R391" s="120">
        <f t="shared" si="92"/>
        <v>0</v>
      </c>
      <c r="S391" s="119"/>
      <c r="T391" s="120">
        <f t="shared" si="93"/>
        <v>0</v>
      </c>
      <c r="AG391" s="121">
        <f t="shared" si="97"/>
      </c>
      <c r="AH391" s="121">
        <f t="shared" si="98"/>
      </c>
      <c r="AI391" s="121">
        <f t="shared" si="99"/>
      </c>
      <c r="AJ391" s="121">
        <f t="shared" si="100"/>
      </c>
      <c r="AK391" s="121">
        <f t="shared" si="101"/>
      </c>
    </row>
    <row r="392" spans="1:37" ht="15">
      <c r="A392" s="113">
        <v>46357</v>
      </c>
      <c r="B392" s="113" t="e">
        <f t="shared" si="88"/>
        <v>#N/A</v>
      </c>
      <c r="C392" s="108" t="e">
        <f t="shared" si="90"/>
        <v>#N/A</v>
      </c>
      <c r="D392" s="114">
        <f t="shared" si="94"/>
        <v>0</v>
      </c>
      <c r="E392" s="114" t="e">
        <f t="shared" si="89"/>
        <v>#N/A</v>
      </c>
      <c r="F392" s="108" t="e">
        <f t="shared" si="95"/>
        <v>#N/A</v>
      </c>
      <c r="G392" s="114">
        <f t="shared" si="96"/>
        <v>0</v>
      </c>
      <c r="H392" s="110">
        <v>392</v>
      </c>
      <c r="I392" s="115"/>
      <c r="J392" s="116"/>
      <c r="K392" s="115"/>
      <c r="L392" s="116"/>
      <c r="M392" s="117"/>
      <c r="N392" s="118">
        <f>IF(A392&gt;Dados!$C$16,0,IF(A392=Dados!$C$16,1,SUMIF($A$3:$A$500,CONCATENATE("&gt;",TEXT(DATEVALUE(TEXT(A392,"dd/mm/aaaa")),0)),$M$3:$M$500)-SUMIF($A$3:$A$500,CONCATENATE("&gt;",TEXT(Dados!$C$16-1,0)),$M$3:$M$500)+1%))</f>
        <v>0</v>
      </c>
      <c r="O392" s="119"/>
      <c r="P392" s="120">
        <f t="shared" si="91"/>
        <v>0</v>
      </c>
      <c r="Q392" s="119"/>
      <c r="R392" s="120">
        <f t="shared" si="92"/>
        <v>0</v>
      </c>
      <c r="S392" s="119"/>
      <c r="T392" s="120">
        <f t="shared" si="93"/>
        <v>0</v>
      </c>
      <c r="AG392" s="121">
        <f t="shared" si="97"/>
      </c>
      <c r="AH392" s="121">
        <f t="shared" si="98"/>
      </c>
      <c r="AI392" s="121">
        <f t="shared" si="99"/>
      </c>
      <c r="AJ392" s="121">
        <f t="shared" si="100"/>
      </c>
      <c r="AK392" s="121">
        <f t="shared" si="101"/>
      </c>
    </row>
    <row r="393" spans="1:37" ht="15">
      <c r="A393" s="113">
        <v>46388</v>
      </c>
      <c r="B393" s="113" t="e">
        <f t="shared" si="88"/>
        <v>#N/A</v>
      </c>
      <c r="C393" s="108" t="e">
        <f t="shared" si="90"/>
        <v>#N/A</v>
      </c>
      <c r="D393" s="114">
        <f t="shared" si="94"/>
        <v>0</v>
      </c>
      <c r="E393" s="114" t="e">
        <f t="shared" si="89"/>
        <v>#N/A</v>
      </c>
      <c r="F393" s="108" t="e">
        <f t="shared" si="95"/>
        <v>#N/A</v>
      </c>
      <c r="G393" s="114">
        <f t="shared" si="96"/>
        <v>0</v>
      </c>
      <c r="H393" s="110">
        <v>393</v>
      </c>
      <c r="I393" s="115"/>
      <c r="J393" s="116"/>
      <c r="K393" s="115"/>
      <c r="L393" s="116"/>
      <c r="M393" s="117"/>
      <c r="N393" s="118">
        <f>IF(A393&gt;Dados!$C$16,0,IF(A393=Dados!$C$16,1,SUMIF($A$3:$A$500,CONCATENATE("&gt;",TEXT(DATEVALUE(TEXT(A393,"dd/mm/aaaa")),0)),$M$3:$M$500)-SUMIF($A$3:$A$500,CONCATENATE("&gt;",TEXT(Dados!$C$16-1,0)),$M$3:$M$500)+1%))</f>
        <v>0</v>
      </c>
      <c r="O393" s="119"/>
      <c r="P393" s="120">
        <f t="shared" si="91"/>
        <v>0</v>
      </c>
      <c r="Q393" s="119"/>
      <c r="R393" s="120">
        <f t="shared" si="92"/>
        <v>0</v>
      </c>
      <c r="S393" s="119"/>
      <c r="T393" s="120">
        <f t="shared" si="93"/>
        <v>0</v>
      </c>
      <c r="AG393" s="121">
        <f t="shared" si="97"/>
      </c>
      <c r="AH393" s="121">
        <f t="shared" si="98"/>
      </c>
      <c r="AI393" s="121">
        <f t="shared" si="99"/>
      </c>
      <c r="AJ393" s="121">
        <f t="shared" si="100"/>
      </c>
      <c r="AK393" s="121">
        <f t="shared" si="101"/>
      </c>
    </row>
    <row r="394" spans="1:37" ht="15">
      <c r="A394" s="113">
        <v>46419</v>
      </c>
      <c r="B394" s="113" t="e">
        <f t="shared" si="88"/>
        <v>#N/A</v>
      </c>
      <c r="C394" s="108" t="e">
        <f t="shared" si="90"/>
        <v>#N/A</v>
      </c>
      <c r="D394" s="114">
        <f t="shared" si="94"/>
        <v>0</v>
      </c>
      <c r="E394" s="114" t="e">
        <f t="shared" si="89"/>
        <v>#N/A</v>
      </c>
      <c r="F394" s="108" t="e">
        <f t="shared" si="95"/>
        <v>#N/A</v>
      </c>
      <c r="G394" s="114">
        <f t="shared" si="96"/>
        <v>0</v>
      </c>
      <c r="H394" s="110">
        <v>394</v>
      </c>
      <c r="I394" s="115"/>
      <c r="J394" s="116"/>
      <c r="K394" s="115"/>
      <c r="L394" s="116"/>
      <c r="M394" s="117"/>
      <c r="N394" s="118">
        <f>IF(A394&gt;Dados!$C$16,0,IF(A394=Dados!$C$16,1,SUMIF($A$3:$A$500,CONCATENATE("&gt;",TEXT(DATEVALUE(TEXT(A394,"dd/mm/aaaa")),0)),$M$3:$M$500)-SUMIF($A$3:$A$500,CONCATENATE("&gt;",TEXT(Dados!$C$16-1,0)),$M$3:$M$500)+1%))</f>
        <v>0</v>
      </c>
      <c r="O394" s="119"/>
      <c r="P394" s="120">
        <f t="shared" si="91"/>
        <v>0</v>
      </c>
      <c r="Q394" s="119"/>
      <c r="R394" s="120">
        <f t="shared" si="92"/>
        <v>0</v>
      </c>
      <c r="S394" s="119"/>
      <c r="T394" s="120">
        <f t="shared" si="93"/>
        <v>0</v>
      </c>
      <c r="AG394" s="121">
        <f t="shared" si="97"/>
      </c>
      <c r="AH394" s="121">
        <f t="shared" si="98"/>
      </c>
      <c r="AI394" s="121">
        <f t="shared" si="99"/>
      </c>
      <c r="AJ394" s="121">
        <f t="shared" si="100"/>
      </c>
      <c r="AK394" s="121">
        <f t="shared" si="101"/>
      </c>
    </row>
    <row r="395" spans="1:37" ht="15">
      <c r="A395" s="113">
        <v>46447</v>
      </c>
      <c r="B395" s="113" t="e">
        <f t="shared" si="88"/>
        <v>#N/A</v>
      </c>
      <c r="C395" s="108" t="e">
        <f t="shared" si="90"/>
        <v>#N/A</v>
      </c>
      <c r="D395" s="114">
        <f t="shared" si="94"/>
        <v>0</v>
      </c>
      <c r="E395" s="114" t="e">
        <f t="shared" si="89"/>
        <v>#N/A</v>
      </c>
      <c r="F395" s="108" t="e">
        <f t="shared" si="95"/>
        <v>#N/A</v>
      </c>
      <c r="G395" s="114">
        <f t="shared" si="96"/>
        <v>0</v>
      </c>
      <c r="H395" s="110">
        <v>395</v>
      </c>
      <c r="I395" s="115"/>
      <c r="J395" s="116"/>
      <c r="K395" s="115"/>
      <c r="L395" s="116"/>
      <c r="M395" s="117"/>
      <c r="N395" s="118">
        <f>IF(A395&gt;Dados!$C$16,0,IF(A395=Dados!$C$16,1,SUMIF($A$3:$A$500,CONCATENATE("&gt;",TEXT(DATEVALUE(TEXT(A395,"dd/mm/aaaa")),0)),$M$3:$M$500)-SUMIF($A$3:$A$500,CONCATENATE("&gt;",TEXT(Dados!$C$16-1,0)),$M$3:$M$500)+1%))</f>
        <v>0</v>
      </c>
      <c r="O395" s="119"/>
      <c r="P395" s="120">
        <f t="shared" si="91"/>
        <v>0</v>
      </c>
      <c r="Q395" s="119"/>
      <c r="R395" s="120">
        <f t="shared" si="92"/>
        <v>0</v>
      </c>
      <c r="S395" s="119"/>
      <c r="T395" s="120">
        <f t="shared" si="93"/>
        <v>0</v>
      </c>
      <c r="AG395" s="121">
        <f t="shared" si="97"/>
      </c>
      <c r="AH395" s="121">
        <f t="shared" si="98"/>
      </c>
      <c r="AI395" s="121">
        <f t="shared" si="99"/>
      </c>
      <c r="AJ395" s="121">
        <f t="shared" si="100"/>
      </c>
      <c r="AK395" s="121">
        <f t="shared" si="101"/>
      </c>
    </row>
    <row r="396" spans="1:37" ht="15">
      <c r="A396" s="113">
        <v>46478</v>
      </c>
      <c r="B396" s="113" t="e">
        <f t="shared" si="88"/>
        <v>#N/A</v>
      </c>
      <c r="C396" s="108" t="e">
        <f t="shared" si="90"/>
        <v>#N/A</v>
      </c>
      <c r="D396" s="114">
        <f t="shared" si="94"/>
        <v>0</v>
      </c>
      <c r="E396" s="114" t="e">
        <f t="shared" si="89"/>
        <v>#N/A</v>
      </c>
      <c r="F396" s="108" t="e">
        <f t="shared" si="95"/>
        <v>#N/A</v>
      </c>
      <c r="G396" s="114">
        <f t="shared" si="96"/>
        <v>0</v>
      </c>
      <c r="H396" s="110">
        <v>396</v>
      </c>
      <c r="I396" s="115"/>
      <c r="J396" s="116"/>
      <c r="K396" s="115"/>
      <c r="L396" s="116"/>
      <c r="M396" s="117"/>
      <c r="N396" s="118">
        <f>IF(A396&gt;Dados!$C$16,0,IF(A396=Dados!$C$16,1,SUMIF($A$3:$A$500,CONCATENATE("&gt;",TEXT(DATEVALUE(TEXT(A396,"dd/mm/aaaa")),0)),$M$3:$M$500)-SUMIF($A$3:$A$500,CONCATENATE("&gt;",TEXT(Dados!$C$16-1,0)),$M$3:$M$500)+1%))</f>
        <v>0</v>
      </c>
      <c r="O396" s="119"/>
      <c r="P396" s="120">
        <f t="shared" si="91"/>
        <v>0</v>
      </c>
      <c r="Q396" s="119"/>
      <c r="R396" s="120">
        <f t="shared" si="92"/>
        <v>0</v>
      </c>
      <c r="S396" s="119"/>
      <c r="T396" s="120">
        <f t="shared" si="93"/>
        <v>0</v>
      </c>
      <c r="AG396" s="121">
        <f t="shared" si="97"/>
      </c>
      <c r="AH396" s="121">
        <f t="shared" si="98"/>
      </c>
      <c r="AI396" s="121">
        <f t="shared" si="99"/>
      </c>
      <c r="AJ396" s="121">
        <f t="shared" si="100"/>
      </c>
      <c r="AK396" s="121">
        <f t="shared" si="101"/>
      </c>
    </row>
    <row r="397" spans="1:37" ht="15">
      <c r="A397" s="113">
        <v>46508</v>
      </c>
      <c r="B397" s="113" t="e">
        <f t="shared" si="88"/>
        <v>#N/A</v>
      </c>
      <c r="C397" s="108" t="e">
        <f t="shared" si="90"/>
        <v>#N/A</v>
      </c>
      <c r="D397" s="114">
        <f t="shared" si="94"/>
        <v>0</v>
      </c>
      <c r="E397" s="114" t="e">
        <f t="shared" si="89"/>
        <v>#N/A</v>
      </c>
      <c r="F397" s="108" t="e">
        <f t="shared" si="95"/>
        <v>#N/A</v>
      </c>
      <c r="G397" s="114">
        <f t="shared" si="96"/>
        <v>0</v>
      </c>
      <c r="H397" s="110">
        <v>397</v>
      </c>
      <c r="I397" s="115"/>
      <c r="J397" s="116"/>
      <c r="K397" s="115"/>
      <c r="L397" s="116"/>
      <c r="M397" s="117"/>
      <c r="N397" s="118">
        <f>IF(A397&gt;Dados!$C$16,0,IF(A397=Dados!$C$16,1,SUMIF($A$3:$A$500,CONCATENATE("&gt;",TEXT(DATEVALUE(TEXT(A397,"dd/mm/aaaa")),0)),$M$3:$M$500)-SUMIF($A$3:$A$500,CONCATENATE("&gt;",TEXT(Dados!$C$16-1,0)),$M$3:$M$500)+1%))</f>
        <v>0</v>
      </c>
      <c r="O397" s="119"/>
      <c r="P397" s="120">
        <f t="shared" si="91"/>
        <v>0</v>
      </c>
      <c r="Q397" s="119"/>
      <c r="R397" s="120">
        <f t="shared" si="92"/>
        <v>0</v>
      </c>
      <c r="S397" s="119"/>
      <c r="T397" s="120">
        <f t="shared" si="93"/>
        <v>0</v>
      </c>
      <c r="AG397" s="121">
        <f t="shared" si="97"/>
      </c>
      <c r="AH397" s="121">
        <f t="shared" si="98"/>
      </c>
      <c r="AI397" s="121">
        <f t="shared" si="99"/>
      </c>
      <c r="AJ397" s="121">
        <f t="shared" si="100"/>
      </c>
      <c r="AK397" s="121">
        <f t="shared" si="101"/>
      </c>
    </row>
    <row r="398" spans="1:37" ht="15">
      <c r="A398" s="113">
        <v>46539</v>
      </c>
      <c r="B398" s="113" t="e">
        <f t="shared" si="88"/>
        <v>#N/A</v>
      </c>
      <c r="C398" s="108" t="e">
        <f t="shared" si="90"/>
        <v>#N/A</v>
      </c>
      <c r="D398" s="114">
        <f t="shared" si="94"/>
        <v>0</v>
      </c>
      <c r="E398" s="114" t="e">
        <f t="shared" si="89"/>
        <v>#N/A</v>
      </c>
      <c r="F398" s="108" t="e">
        <f t="shared" si="95"/>
        <v>#N/A</v>
      </c>
      <c r="G398" s="114">
        <f t="shared" si="96"/>
        <v>0</v>
      </c>
      <c r="H398" s="110">
        <v>398</v>
      </c>
      <c r="I398" s="115"/>
      <c r="J398" s="116"/>
      <c r="K398" s="115"/>
      <c r="L398" s="116"/>
      <c r="M398" s="117"/>
      <c r="N398" s="118">
        <f>IF(A398&gt;Dados!$C$16,0,IF(A398=Dados!$C$16,1,SUMIF($A$3:$A$500,CONCATENATE("&gt;",TEXT(DATEVALUE(TEXT(A398,"dd/mm/aaaa")),0)),$M$3:$M$500)-SUMIF($A$3:$A$500,CONCATENATE("&gt;",TEXT(Dados!$C$16-1,0)),$M$3:$M$500)+1%))</f>
        <v>0</v>
      </c>
      <c r="O398" s="119"/>
      <c r="P398" s="120">
        <f t="shared" si="91"/>
        <v>0</v>
      </c>
      <c r="Q398" s="119"/>
      <c r="R398" s="120">
        <f t="shared" si="92"/>
        <v>0</v>
      </c>
      <c r="S398" s="119"/>
      <c r="T398" s="120">
        <f t="shared" si="93"/>
        <v>0</v>
      </c>
      <c r="AG398" s="121">
        <f t="shared" si="97"/>
      </c>
      <c r="AH398" s="121">
        <f t="shared" si="98"/>
      </c>
      <c r="AI398" s="121">
        <f t="shared" si="99"/>
      </c>
      <c r="AJ398" s="121">
        <f t="shared" si="100"/>
      </c>
      <c r="AK398" s="121">
        <f t="shared" si="101"/>
      </c>
    </row>
    <row r="399" spans="1:37" ht="15">
      <c r="A399" s="113">
        <v>46569</v>
      </c>
      <c r="B399" s="113" t="e">
        <f t="shared" si="88"/>
        <v>#N/A</v>
      </c>
      <c r="C399" s="108" t="e">
        <f t="shared" si="90"/>
        <v>#N/A</v>
      </c>
      <c r="D399" s="114">
        <f t="shared" si="94"/>
        <v>0</v>
      </c>
      <c r="E399" s="114" t="e">
        <f t="shared" si="89"/>
        <v>#N/A</v>
      </c>
      <c r="F399" s="108" t="e">
        <f t="shared" si="95"/>
        <v>#N/A</v>
      </c>
      <c r="G399" s="114">
        <f t="shared" si="96"/>
        <v>0</v>
      </c>
      <c r="H399" s="110">
        <v>399</v>
      </c>
      <c r="I399" s="115"/>
      <c r="J399" s="116"/>
      <c r="K399" s="115"/>
      <c r="L399" s="116"/>
      <c r="M399" s="117"/>
      <c r="N399" s="118">
        <f>IF(A399&gt;Dados!$C$16,0,IF(A399=Dados!$C$16,1,SUMIF($A$3:$A$500,CONCATENATE("&gt;",TEXT(DATEVALUE(TEXT(A399,"dd/mm/aaaa")),0)),$M$3:$M$500)-SUMIF($A$3:$A$500,CONCATENATE("&gt;",TEXT(Dados!$C$16-1,0)),$M$3:$M$500)+1%))</f>
        <v>0</v>
      </c>
      <c r="O399" s="119"/>
      <c r="P399" s="120">
        <f t="shared" si="91"/>
        <v>0</v>
      </c>
      <c r="Q399" s="119"/>
      <c r="R399" s="120">
        <f t="shared" si="92"/>
        <v>0</v>
      </c>
      <c r="S399" s="119"/>
      <c r="T399" s="120">
        <f t="shared" si="93"/>
        <v>0</v>
      </c>
      <c r="AG399" s="121">
        <f t="shared" si="97"/>
      </c>
      <c r="AH399" s="121">
        <f t="shared" si="98"/>
      </c>
      <c r="AI399" s="121">
        <f t="shared" si="99"/>
      </c>
      <c r="AJ399" s="121">
        <f t="shared" si="100"/>
      </c>
      <c r="AK399" s="121">
        <f t="shared" si="101"/>
      </c>
    </row>
    <row r="400" spans="1:37" ht="15">
      <c r="A400" s="113">
        <v>46600</v>
      </c>
      <c r="B400" s="113" t="e">
        <f t="shared" si="88"/>
        <v>#N/A</v>
      </c>
      <c r="C400" s="108" t="e">
        <f t="shared" si="90"/>
        <v>#N/A</v>
      </c>
      <c r="D400" s="114">
        <f t="shared" si="94"/>
        <v>0</v>
      </c>
      <c r="E400" s="114" t="e">
        <f t="shared" si="89"/>
        <v>#N/A</v>
      </c>
      <c r="F400" s="108" t="e">
        <f t="shared" si="95"/>
        <v>#N/A</v>
      </c>
      <c r="G400" s="114">
        <f t="shared" si="96"/>
        <v>0</v>
      </c>
      <c r="H400" s="110">
        <v>400</v>
      </c>
      <c r="I400" s="115"/>
      <c r="J400" s="116"/>
      <c r="K400" s="115"/>
      <c r="L400" s="116"/>
      <c r="M400" s="117"/>
      <c r="N400" s="118">
        <f>IF(A400&gt;Dados!$C$16,0,IF(A400=Dados!$C$16,1,SUMIF($A$3:$A$500,CONCATENATE("&gt;",TEXT(DATEVALUE(TEXT(A400,"dd/mm/aaaa")),0)),$M$3:$M$500)-SUMIF($A$3:$A$500,CONCATENATE("&gt;",TEXT(Dados!$C$16-1,0)),$M$3:$M$500)+1%))</f>
        <v>0</v>
      </c>
      <c r="O400" s="119"/>
      <c r="P400" s="120">
        <f t="shared" si="91"/>
        <v>0</v>
      </c>
      <c r="Q400" s="119"/>
      <c r="R400" s="120">
        <f t="shared" si="92"/>
        <v>0</v>
      </c>
      <c r="S400" s="119"/>
      <c r="T400" s="120">
        <f t="shared" si="93"/>
        <v>0</v>
      </c>
      <c r="AG400" s="121">
        <f t="shared" si="97"/>
      </c>
      <c r="AH400" s="121">
        <f t="shared" si="98"/>
      </c>
      <c r="AI400" s="121">
        <f t="shared" si="99"/>
      </c>
      <c r="AJ400" s="121">
        <f t="shared" si="100"/>
      </c>
      <c r="AK400" s="121">
        <f t="shared" si="101"/>
      </c>
    </row>
    <row r="401" spans="1:37" ht="15">
      <c r="A401" s="113">
        <v>46631</v>
      </c>
      <c r="B401" s="113" t="e">
        <f t="shared" si="88"/>
        <v>#N/A</v>
      </c>
      <c r="C401" s="108" t="e">
        <f t="shared" si="90"/>
        <v>#N/A</v>
      </c>
      <c r="D401" s="114">
        <f t="shared" si="94"/>
        <v>0</v>
      </c>
      <c r="E401" s="114" t="e">
        <f t="shared" si="89"/>
        <v>#N/A</v>
      </c>
      <c r="F401" s="108" t="e">
        <f t="shared" si="95"/>
        <v>#N/A</v>
      </c>
      <c r="G401" s="114">
        <f t="shared" si="96"/>
        <v>0</v>
      </c>
      <c r="H401" s="110">
        <v>401</v>
      </c>
      <c r="I401" s="115"/>
      <c r="J401" s="116"/>
      <c r="K401" s="115"/>
      <c r="L401" s="116"/>
      <c r="M401" s="117"/>
      <c r="N401" s="118">
        <f>IF(A401&gt;Dados!$C$16,0,IF(A401=Dados!$C$16,1,SUMIF($A$3:$A$500,CONCATENATE("&gt;",TEXT(DATEVALUE(TEXT(A401,"dd/mm/aaaa")),0)),$M$3:$M$500)-SUMIF($A$3:$A$500,CONCATENATE("&gt;",TEXT(Dados!$C$16-1,0)),$M$3:$M$500)+1%))</f>
        <v>0</v>
      </c>
      <c r="O401" s="119"/>
      <c r="P401" s="120">
        <f t="shared" si="91"/>
        <v>0</v>
      </c>
      <c r="Q401" s="119"/>
      <c r="R401" s="120">
        <f t="shared" si="92"/>
        <v>0</v>
      </c>
      <c r="S401" s="119"/>
      <c r="T401" s="120">
        <f t="shared" si="93"/>
        <v>0</v>
      </c>
      <c r="AG401" s="121">
        <f t="shared" si="97"/>
      </c>
      <c r="AH401" s="121">
        <f t="shared" si="98"/>
      </c>
      <c r="AI401" s="121">
        <f t="shared" si="99"/>
      </c>
      <c r="AJ401" s="121">
        <f t="shared" si="100"/>
      </c>
      <c r="AK401" s="121">
        <f t="shared" si="101"/>
      </c>
    </row>
    <row r="402" spans="1:37" ht="15">
      <c r="A402" s="113">
        <v>46661</v>
      </c>
      <c r="B402" s="113" t="e">
        <f t="shared" si="88"/>
        <v>#N/A</v>
      </c>
      <c r="C402" s="108" t="e">
        <f t="shared" si="90"/>
        <v>#N/A</v>
      </c>
      <c r="D402" s="114">
        <f t="shared" si="94"/>
        <v>0</v>
      </c>
      <c r="E402" s="114" t="e">
        <f t="shared" si="89"/>
        <v>#N/A</v>
      </c>
      <c r="F402" s="108" t="e">
        <f t="shared" si="95"/>
        <v>#N/A</v>
      </c>
      <c r="G402" s="114">
        <f t="shared" si="96"/>
        <v>0</v>
      </c>
      <c r="H402" s="110">
        <v>402</v>
      </c>
      <c r="I402" s="115"/>
      <c r="J402" s="116"/>
      <c r="K402" s="115"/>
      <c r="L402" s="116"/>
      <c r="M402" s="117"/>
      <c r="N402" s="118">
        <f>IF(A402&gt;Dados!$C$16,0,IF(A402=Dados!$C$16,1,SUMIF($A$3:$A$500,CONCATENATE("&gt;",TEXT(DATEVALUE(TEXT(A402,"dd/mm/aaaa")),0)),$M$3:$M$500)-SUMIF($A$3:$A$500,CONCATENATE("&gt;",TEXT(Dados!$C$16-1,0)),$M$3:$M$500)+1%))</f>
        <v>0</v>
      </c>
      <c r="O402" s="119"/>
      <c r="P402" s="120">
        <f t="shared" si="91"/>
        <v>0</v>
      </c>
      <c r="Q402" s="119"/>
      <c r="R402" s="120">
        <f t="shared" si="92"/>
        <v>0</v>
      </c>
      <c r="S402" s="119"/>
      <c r="T402" s="120">
        <f t="shared" si="93"/>
        <v>0</v>
      </c>
      <c r="AG402" s="121">
        <f t="shared" si="97"/>
      </c>
      <c r="AH402" s="121">
        <f t="shared" si="98"/>
      </c>
      <c r="AI402" s="121">
        <f t="shared" si="99"/>
      </c>
      <c r="AJ402" s="121">
        <f t="shared" si="100"/>
      </c>
      <c r="AK402" s="121">
        <f t="shared" si="101"/>
      </c>
    </row>
    <row r="403" spans="1:37" ht="15">
      <c r="A403" s="113">
        <v>46692</v>
      </c>
      <c r="B403" s="113" t="e">
        <f t="shared" si="88"/>
        <v>#N/A</v>
      </c>
      <c r="C403" s="108" t="e">
        <f t="shared" si="90"/>
        <v>#N/A</v>
      </c>
      <c r="D403" s="114">
        <f t="shared" si="94"/>
        <v>0</v>
      </c>
      <c r="E403" s="114" t="e">
        <f t="shared" si="89"/>
        <v>#N/A</v>
      </c>
      <c r="F403" s="108" t="e">
        <f t="shared" si="95"/>
        <v>#N/A</v>
      </c>
      <c r="G403" s="114">
        <f t="shared" si="96"/>
        <v>0</v>
      </c>
      <c r="H403" s="110">
        <v>403</v>
      </c>
      <c r="I403" s="115"/>
      <c r="J403" s="116"/>
      <c r="K403" s="115"/>
      <c r="L403" s="116"/>
      <c r="M403" s="117"/>
      <c r="N403" s="118">
        <f>IF(A403&gt;Dados!$C$16,0,IF(A403=Dados!$C$16,1,SUMIF($A$3:$A$500,CONCATENATE("&gt;",TEXT(DATEVALUE(TEXT(A403,"dd/mm/aaaa")),0)),$M$3:$M$500)-SUMIF($A$3:$A$500,CONCATENATE("&gt;",TEXT(Dados!$C$16-1,0)),$M$3:$M$500)+1%))</f>
        <v>0</v>
      </c>
      <c r="O403" s="119"/>
      <c r="P403" s="120">
        <f t="shared" si="91"/>
        <v>0</v>
      </c>
      <c r="Q403" s="119"/>
      <c r="R403" s="120">
        <f t="shared" si="92"/>
        <v>0</v>
      </c>
      <c r="S403" s="119"/>
      <c r="T403" s="120">
        <f t="shared" si="93"/>
        <v>0</v>
      </c>
      <c r="AG403" s="121">
        <f t="shared" si="97"/>
      </c>
      <c r="AH403" s="121">
        <f t="shared" si="98"/>
      </c>
      <c r="AI403" s="121">
        <f t="shared" si="99"/>
      </c>
      <c r="AJ403" s="121">
        <f t="shared" si="100"/>
      </c>
      <c r="AK403" s="121">
        <f t="shared" si="101"/>
      </c>
    </row>
    <row r="404" spans="1:37" ht="15">
      <c r="A404" s="113">
        <v>46722</v>
      </c>
      <c r="B404" s="113" t="e">
        <f t="shared" si="88"/>
        <v>#N/A</v>
      </c>
      <c r="C404" s="108" t="e">
        <f t="shared" si="90"/>
        <v>#N/A</v>
      </c>
      <c r="D404" s="114">
        <f t="shared" si="94"/>
        <v>0</v>
      </c>
      <c r="E404" s="114" t="e">
        <f t="shared" si="89"/>
        <v>#N/A</v>
      </c>
      <c r="F404" s="108" t="e">
        <f t="shared" si="95"/>
        <v>#N/A</v>
      </c>
      <c r="G404" s="114">
        <f t="shared" si="96"/>
        <v>0</v>
      </c>
      <c r="H404" s="110">
        <v>404</v>
      </c>
      <c r="I404" s="115"/>
      <c r="J404" s="116"/>
      <c r="K404" s="115"/>
      <c r="L404" s="116"/>
      <c r="M404" s="117"/>
      <c r="N404" s="118">
        <f>IF(A404&gt;Dados!$C$16,0,IF(A404=Dados!$C$16,1,SUMIF($A$3:$A$500,CONCATENATE("&gt;",TEXT(DATEVALUE(TEXT(A404,"dd/mm/aaaa")),0)),$M$3:$M$500)-SUMIF($A$3:$A$500,CONCATENATE("&gt;",TEXT(Dados!$C$16-1,0)),$M$3:$M$500)+1%))</f>
        <v>0</v>
      </c>
      <c r="O404" s="119"/>
      <c r="P404" s="120">
        <f t="shared" si="91"/>
        <v>0</v>
      </c>
      <c r="Q404" s="119"/>
      <c r="R404" s="120">
        <f t="shared" si="92"/>
        <v>0</v>
      </c>
      <c r="S404" s="119"/>
      <c r="T404" s="120">
        <f t="shared" si="93"/>
        <v>0</v>
      </c>
      <c r="AG404" s="121">
        <f t="shared" si="97"/>
      </c>
      <c r="AH404" s="121">
        <f t="shared" si="98"/>
      </c>
      <c r="AI404" s="121">
        <f t="shared" si="99"/>
      </c>
      <c r="AJ404" s="121">
        <f t="shared" si="100"/>
      </c>
      <c r="AK404" s="121">
        <f t="shared" si="101"/>
      </c>
    </row>
    <row r="405" spans="1:37" ht="15">
      <c r="A405" s="113">
        <v>46753</v>
      </c>
      <c r="B405" s="113" t="e">
        <f t="shared" si="88"/>
        <v>#N/A</v>
      </c>
      <c r="C405" s="108" t="e">
        <f t="shared" si="90"/>
        <v>#N/A</v>
      </c>
      <c r="D405" s="114">
        <f t="shared" si="94"/>
        <v>0</v>
      </c>
      <c r="E405" s="114" t="e">
        <f t="shared" si="89"/>
        <v>#N/A</v>
      </c>
      <c r="F405" s="108" t="e">
        <f t="shared" si="95"/>
        <v>#N/A</v>
      </c>
      <c r="G405" s="114">
        <f t="shared" si="96"/>
        <v>0</v>
      </c>
      <c r="H405" s="110">
        <v>405</v>
      </c>
      <c r="I405" s="115"/>
      <c r="J405" s="116"/>
      <c r="K405" s="115"/>
      <c r="L405" s="116"/>
      <c r="M405" s="117"/>
      <c r="N405" s="118">
        <f>IF(A405&gt;Dados!$C$16,0,IF(A405=Dados!$C$16,1,SUMIF($A$3:$A$500,CONCATENATE("&gt;",TEXT(DATEVALUE(TEXT(A405,"dd/mm/aaaa")),0)),$M$3:$M$500)-SUMIF($A$3:$A$500,CONCATENATE("&gt;",TEXT(Dados!$C$16-1,0)),$M$3:$M$500)+1%))</f>
        <v>0</v>
      </c>
      <c r="O405" s="119"/>
      <c r="P405" s="120">
        <f t="shared" si="91"/>
        <v>0</v>
      </c>
      <c r="Q405" s="119"/>
      <c r="R405" s="120">
        <f t="shared" si="92"/>
        <v>0</v>
      </c>
      <c r="S405" s="119"/>
      <c r="T405" s="120">
        <f t="shared" si="93"/>
        <v>0</v>
      </c>
      <c r="AG405" s="121">
        <f t="shared" si="97"/>
      </c>
      <c r="AH405" s="121">
        <f t="shared" si="98"/>
      </c>
      <c r="AI405" s="121">
        <f t="shared" si="99"/>
      </c>
      <c r="AJ405" s="121">
        <f t="shared" si="100"/>
      </c>
      <c r="AK405" s="121">
        <f t="shared" si="101"/>
      </c>
    </row>
    <row r="406" spans="1:37" ht="15">
      <c r="A406" s="113">
        <v>46784</v>
      </c>
      <c r="B406" s="113" t="e">
        <f t="shared" si="88"/>
        <v>#N/A</v>
      </c>
      <c r="C406" s="108" t="e">
        <f t="shared" si="90"/>
        <v>#N/A</v>
      </c>
      <c r="D406" s="114">
        <f t="shared" si="94"/>
        <v>0</v>
      </c>
      <c r="E406" s="114" t="e">
        <f t="shared" si="89"/>
        <v>#N/A</v>
      </c>
      <c r="F406" s="108" t="e">
        <f t="shared" si="95"/>
        <v>#N/A</v>
      </c>
      <c r="G406" s="114">
        <f t="shared" si="96"/>
        <v>0</v>
      </c>
      <c r="H406" s="110">
        <v>406</v>
      </c>
      <c r="I406" s="115"/>
      <c r="J406" s="116"/>
      <c r="K406" s="115"/>
      <c r="L406" s="116"/>
      <c r="M406" s="117"/>
      <c r="N406" s="118">
        <f>IF(A406&gt;Dados!$C$16,0,IF(A406=Dados!$C$16,1,SUMIF($A$3:$A$500,CONCATENATE("&gt;",TEXT(DATEVALUE(TEXT(A406,"dd/mm/aaaa")),0)),$M$3:$M$500)-SUMIF($A$3:$A$500,CONCATENATE("&gt;",TEXT(Dados!$C$16-1,0)),$M$3:$M$500)+1%))</f>
        <v>0</v>
      </c>
      <c r="O406" s="119"/>
      <c r="P406" s="120">
        <f t="shared" si="91"/>
        <v>0</v>
      </c>
      <c r="Q406" s="119"/>
      <c r="R406" s="120">
        <f t="shared" si="92"/>
        <v>0</v>
      </c>
      <c r="S406" s="119"/>
      <c r="T406" s="120">
        <f t="shared" si="93"/>
        <v>0</v>
      </c>
      <c r="AG406" s="121">
        <f t="shared" si="97"/>
      </c>
      <c r="AH406" s="121">
        <f t="shared" si="98"/>
      </c>
      <c r="AI406" s="121">
        <f t="shared" si="99"/>
      </c>
      <c r="AJ406" s="121">
        <f t="shared" si="100"/>
      </c>
      <c r="AK406" s="121">
        <f t="shared" si="101"/>
      </c>
    </row>
    <row r="407" spans="1:37" ht="15">
      <c r="A407" s="113">
        <v>46813</v>
      </c>
      <c r="B407" s="113" t="e">
        <f t="shared" si="88"/>
        <v>#N/A</v>
      </c>
      <c r="C407" s="108" t="e">
        <f t="shared" si="90"/>
        <v>#N/A</v>
      </c>
      <c r="D407" s="114">
        <f t="shared" si="94"/>
        <v>0</v>
      </c>
      <c r="E407" s="114" t="e">
        <f t="shared" si="89"/>
        <v>#N/A</v>
      </c>
      <c r="F407" s="108" t="e">
        <f t="shared" si="95"/>
        <v>#N/A</v>
      </c>
      <c r="G407" s="114">
        <f t="shared" si="96"/>
        <v>0</v>
      </c>
      <c r="H407" s="110">
        <v>407</v>
      </c>
      <c r="I407" s="115"/>
      <c r="J407" s="116"/>
      <c r="K407" s="115"/>
      <c r="L407" s="116"/>
      <c r="M407" s="117"/>
      <c r="N407" s="118">
        <f>IF(A407&gt;Dados!$C$16,0,IF(A407=Dados!$C$16,1,SUMIF($A$3:$A$500,CONCATENATE("&gt;",TEXT(DATEVALUE(TEXT(A407,"dd/mm/aaaa")),0)),$M$3:$M$500)-SUMIF($A$3:$A$500,CONCATENATE("&gt;",TEXT(Dados!$C$16-1,0)),$M$3:$M$500)+1%))</f>
        <v>0</v>
      </c>
      <c r="O407" s="119"/>
      <c r="P407" s="120">
        <f t="shared" si="91"/>
        <v>0</v>
      </c>
      <c r="Q407" s="119"/>
      <c r="R407" s="120">
        <f t="shared" si="92"/>
        <v>0</v>
      </c>
      <c r="S407" s="119"/>
      <c r="T407" s="120">
        <f t="shared" si="93"/>
        <v>0</v>
      </c>
      <c r="AG407" s="121">
        <f t="shared" si="97"/>
      </c>
      <c r="AH407" s="121">
        <f t="shared" si="98"/>
      </c>
      <c r="AI407" s="121">
        <f t="shared" si="99"/>
      </c>
      <c r="AJ407" s="121">
        <f t="shared" si="100"/>
      </c>
      <c r="AK407" s="121">
        <f t="shared" si="101"/>
      </c>
    </row>
    <row r="408" spans="1:37" ht="15">
      <c r="A408" s="113">
        <v>46844</v>
      </c>
      <c r="B408" s="113" t="e">
        <f t="shared" si="88"/>
        <v>#N/A</v>
      </c>
      <c r="C408" s="108" t="e">
        <f t="shared" si="90"/>
        <v>#N/A</v>
      </c>
      <c r="D408" s="114">
        <f t="shared" si="94"/>
        <v>0</v>
      </c>
      <c r="E408" s="114" t="e">
        <f t="shared" si="89"/>
        <v>#N/A</v>
      </c>
      <c r="F408" s="108" t="e">
        <f t="shared" si="95"/>
        <v>#N/A</v>
      </c>
      <c r="G408" s="114">
        <f t="shared" si="96"/>
        <v>0</v>
      </c>
      <c r="H408" s="110">
        <v>408</v>
      </c>
      <c r="I408" s="115"/>
      <c r="J408" s="116"/>
      <c r="K408" s="115"/>
      <c r="L408" s="116"/>
      <c r="M408" s="117"/>
      <c r="N408" s="118">
        <f>IF(A408&gt;Dados!$C$16,0,IF(A408=Dados!$C$16,1,SUMIF($A$3:$A$500,CONCATENATE("&gt;",TEXT(DATEVALUE(TEXT(A408,"dd/mm/aaaa")),0)),$M$3:$M$500)-SUMIF($A$3:$A$500,CONCATENATE("&gt;",TEXT(Dados!$C$16-1,0)),$M$3:$M$500)+1%))</f>
        <v>0</v>
      </c>
      <c r="O408" s="119"/>
      <c r="P408" s="120">
        <f t="shared" si="91"/>
        <v>0</v>
      </c>
      <c r="Q408" s="119"/>
      <c r="R408" s="120">
        <f t="shared" si="92"/>
        <v>0</v>
      </c>
      <c r="S408" s="119"/>
      <c r="T408" s="120">
        <f t="shared" si="93"/>
        <v>0</v>
      </c>
      <c r="AG408" s="121">
        <f t="shared" si="97"/>
      </c>
      <c r="AH408" s="121">
        <f t="shared" si="98"/>
      </c>
      <c r="AI408" s="121">
        <f t="shared" si="99"/>
      </c>
      <c r="AJ408" s="121">
        <f t="shared" si="100"/>
      </c>
      <c r="AK408" s="121">
        <f t="shared" si="101"/>
      </c>
    </row>
    <row r="409" spans="1:37" ht="15">
      <c r="A409" s="113">
        <v>46874</v>
      </c>
      <c r="B409" s="113" t="e">
        <f t="shared" si="88"/>
        <v>#N/A</v>
      </c>
      <c r="C409" s="108" t="e">
        <f t="shared" si="90"/>
        <v>#N/A</v>
      </c>
      <c r="D409" s="114">
        <f t="shared" si="94"/>
        <v>0</v>
      </c>
      <c r="E409" s="114" t="e">
        <f t="shared" si="89"/>
        <v>#N/A</v>
      </c>
      <c r="F409" s="108" t="e">
        <f t="shared" si="95"/>
        <v>#N/A</v>
      </c>
      <c r="G409" s="114">
        <f t="shared" si="96"/>
        <v>0</v>
      </c>
      <c r="H409" s="110">
        <v>409</v>
      </c>
      <c r="I409" s="115"/>
      <c r="J409" s="116"/>
      <c r="K409" s="115"/>
      <c r="L409" s="116"/>
      <c r="M409" s="117"/>
      <c r="N409" s="118">
        <f>IF(A409&gt;Dados!$C$16,0,IF(A409=Dados!$C$16,1,SUMIF($A$3:$A$500,CONCATENATE("&gt;",TEXT(DATEVALUE(TEXT(A409,"dd/mm/aaaa")),0)),$M$3:$M$500)-SUMIF($A$3:$A$500,CONCATENATE("&gt;",TEXT(Dados!$C$16-1,0)),$M$3:$M$500)+1%))</f>
        <v>0</v>
      </c>
      <c r="O409" s="119"/>
      <c r="P409" s="120">
        <f t="shared" si="91"/>
        <v>0</v>
      </c>
      <c r="Q409" s="119"/>
      <c r="R409" s="120">
        <f t="shared" si="92"/>
        <v>0</v>
      </c>
      <c r="S409" s="119"/>
      <c r="T409" s="120">
        <f t="shared" si="93"/>
        <v>0</v>
      </c>
      <c r="AG409" s="121">
        <f t="shared" si="97"/>
      </c>
      <c r="AH409" s="121">
        <f t="shared" si="98"/>
      </c>
      <c r="AI409" s="121">
        <f t="shared" si="99"/>
      </c>
      <c r="AJ409" s="121">
        <f t="shared" si="100"/>
      </c>
      <c r="AK409" s="121">
        <f t="shared" si="101"/>
      </c>
    </row>
    <row r="410" spans="1:37" ht="15">
      <c r="A410" s="113">
        <v>46905</v>
      </c>
      <c r="B410" s="113" t="e">
        <f t="shared" si="88"/>
        <v>#N/A</v>
      </c>
      <c r="C410" s="108" t="e">
        <f t="shared" si="90"/>
        <v>#N/A</v>
      </c>
      <c r="D410" s="114">
        <f t="shared" si="94"/>
        <v>0</v>
      </c>
      <c r="E410" s="114" t="e">
        <f t="shared" si="89"/>
        <v>#N/A</v>
      </c>
      <c r="F410" s="108" t="e">
        <f t="shared" si="95"/>
        <v>#N/A</v>
      </c>
      <c r="G410" s="114">
        <f t="shared" si="96"/>
        <v>0</v>
      </c>
      <c r="H410" s="110">
        <v>410</v>
      </c>
      <c r="I410" s="115"/>
      <c r="J410" s="116"/>
      <c r="K410" s="115"/>
      <c r="L410" s="116"/>
      <c r="M410" s="117"/>
      <c r="N410" s="118">
        <f>IF(A410&gt;Dados!$C$16,0,IF(A410=Dados!$C$16,1,SUMIF($A$3:$A$500,CONCATENATE("&gt;",TEXT(DATEVALUE(TEXT(A410,"dd/mm/aaaa")),0)),$M$3:$M$500)-SUMIF($A$3:$A$500,CONCATENATE("&gt;",TEXT(Dados!$C$16-1,0)),$M$3:$M$500)+1%))</f>
        <v>0</v>
      </c>
      <c r="O410" s="119"/>
      <c r="P410" s="120">
        <f t="shared" si="91"/>
        <v>0</v>
      </c>
      <c r="Q410" s="119"/>
      <c r="R410" s="120">
        <f t="shared" si="92"/>
        <v>0</v>
      </c>
      <c r="S410" s="119"/>
      <c r="T410" s="120">
        <f t="shared" si="93"/>
        <v>0</v>
      </c>
      <c r="AG410" s="121">
        <f t="shared" si="97"/>
      </c>
      <c r="AH410" s="121">
        <f t="shared" si="98"/>
      </c>
      <c r="AI410" s="121">
        <f t="shared" si="99"/>
      </c>
      <c r="AJ410" s="121">
        <f t="shared" si="100"/>
      </c>
      <c r="AK410" s="121">
        <f t="shared" si="101"/>
      </c>
    </row>
    <row r="411" spans="1:37" ht="15">
      <c r="A411" s="113">
        <v>46935</v>
      </c>
      <c r="B411" s="113" t="e">
        <f aca="true" t="shared" si="102" ref="B411:B474">B410</f>
        <v>#N/A</v>
      </c>
      <c r="C411" s="108" t="e">
        <f t="shared" si="90"/>
        <v>#N/A</v>
      </c>
      <c r="D411" s="114">
        <f t="shared" si="94"/>
        <v>0</v>
      </c>
      <c r="E411" s="114" t="e">
        <f aca="true" t="shared" si="103" ref="E411:E474">E410</f>
        <v>#N/A</v>
      </c>
      <c r="F411" s="108" t="e">
        <f t="shared" si="95"/>
        <v>#N/A</v>
      </c>
      <c r="G411" s="114">
        <f t="shared" si="96"/>
        <v>0</v>
      </c>
      <c r="H411" s="110">
        <v>411</v>
      </c>
      <c r="I411" s="115"/>
      <c r="J411" s="116"/>
      <c r="K411" s="115"/>
      <c r="L411" s="116"/>
      <c r="M411" s="117"/>
      <c r="N411" s="118">
        <f>IF(A411&gt;Dados!$C$16,0,IF(A411=Dados!$C$16,1,SUMIF($A$3:$A$500,CONCATENATE("&gt;",TEXT(DATEVALUE(TEXT(A411,"dd/mm/aaaa")),0)),$M$3:$M$500)-SUMIF($A$3:$A$500,CONCATENATE("&gt;",TEXT(Dados!$C$16-1,0)),$M$3:$M$500)+1%))</f>
        <v>0</v>
      </c>
      <c r="O411" s="119"/>
      <c r="P411" s="120">
        <f t="shared" si="91"/>
        <v>0</v>
      </c>
      <c r="Q411" s="119"/>
      <c r="R411" s="120">
        <f t="shared" si="92"/>
        <v>0</v>
      </c>
      <c r="S411" s="119"/>
      <c r="T411" s="120">
        <f t="shared" si="93"/>
        <v>0</v>
      </c>
      <c r="AG411" s="121">
        <f t="shared" si="97"/>
      </c>
      <c r="AH411" s="121">
        <f t="shared" si="98"/>
      </c>
      <c r="AI411" s="121">
        <f t="shared" si="99"/>
      </c>
      <c r="AJ411" s="121">
        <f t="shared" si="100"/>
      </c>
      <c r="AK411" s="121">
        <f t="shared" si="101"/>
      </c>
    </row>
    <row r="412" spans="1:37" ht="15">
      <c r="A412" s="113">
        <v>46966</v>
      </c>
      <c r="B412" s="113" t="e">
        <f t="shared" si="102"/>
        <v>#N/A</v>
      </c>
      <c r="C412" s="108" t="e">
        <f t="shared" si="90"/>
        <v>#N/A</v>
      </c>
      <c r="D412" s="114">
        <f t="shared" si="94"/>
        <v>0</v>
      </c>
      <c r="E412" s="114" t="e">
        <f t="shared" si="103"/>
        <v>#N/A</v>
      </c>
      <c r="F412" s="108" t="e">
        <f t="shared" si="95"/>
        <v>#N/A</v>
      </c>
      <c r="G412" s="114">
        <f t="shared" si="96"/>
        <v>0</v>
      </c>
      <c r="H412" s="110">
        <v>412</v>
      </c>
      <c r="I412" s="115"/>
      <c r="J412" s="116"/>
      <c r="K412" s="115"/>
      <c r="L412" s="116"/>
      <c r="M412" s="117"/>
      <c r="N412" s="118">
        <f>IF(A412&gt;Dados!$C$16,0,IF(A412=Dados!$C$16,1,SUMIF($A$3:$A$500,CONCATENATE("&gt;",TEXT(DATEVALUE(TEXT(A412,"dd/mm/aaaa")),0)),$M$3:$M$500)-SUMIF($A$3:$A$500,CONCATENATE("&gt;",TEXT(Dados!$C$16-1,0)),$M$3:$M$500)+1%))</f>
        <v>0</v>
      </c>
      <c r="O412" s="119"/>
      <c r="P412" s="120">
        <f t="shared" si="91"/>
        <v>0</v>
      </c>
      <c r="Q412" s="119"/>
      <c r="R412" s="120">
        <f t="shared" si="92"/>
        <v>0</v>
      </c>
      <c r="S412" s="119"/>
      <c r="T412" s="120">
        <f t="shared" si="93"/>
        <v>0</v>
      </c>
      <c r="AG412" s="121">
        <f t="shared" si="97"/>
      </c>
      <c r="AH412" s="121">
        <f t="shared" si="98"/>
      </c>
      <c r="AI412" s="121">
        <f t="shared" si="99"/>
      </c>
      <c r="AJ412" s="121">
        <f t="shared" si="100"/>
      </c>
      <c r="AK412" s="121">
        <f t="shared" si="101"/>
      </c>
    </row>
    <row r="413" spans="1:37" ht="15">
      <c r="A413" s="113">
        <v>46997</v>
      </c>
      <c r="B413" s="113" t="e">
        <f t="shared" si="102"/>
        <v>#N/A</v>
      </c>
      <c r="C413" s="108" t="e">
        <f t="shared" si="90"/>
        <v>#N/A</v>
      </c>
      <c r="D413" s="114">
        <f t="shared" si="94"/>
        <v>0</v>
      </c>
      <c r="E413" s="114" t="e">
        <f t="shared" si="103"/>
        <v>#N/A</v>
      </c>
      <c r="F413" s="108" t="e">
        <f t="shared" si="95"/>
        <v>#N/A</v>
      </c>
      <c r="G413" s="114">
        <f t="shared" si="96"/>
        <v>0</v>
      </c>
      <c r="H413" s="110">
        <v>413</v>
      </c>
      <c r="I413" s="115"/>
      <c r="J413" s="116"/>
      <c r="K413" s="115"/>
      <c r="L413" s="116"/>
      <c r="M413" s="117"/>
      <c r="N413" s="118">
        <f>IF(A413&gt;Dados!$C$16,0,IF(A413=Dados!$C$16,1,SUMIF($A$3:$A$500,CONCATENATE("&gt;",TEXT(DATEVALUE(TEXT(A413,"dd/mm/aaaa")),0)),$M$3:$M$500)-SUMIF($A$3:$A$500,CONCATENATE("&gt;",TEXT(Dados!$C$16-1,0)),$M$3:$M$500)+1%))</f>
        <v>0</v>
      </c>
      <c r="O413" s="119"/>
      <c r="P413" s="120">
        <f t="shared" si="91"/>
        <v>0</v>
      </c>
      <c r="Q413" s="119"/>
      <c r="R413" s="120">
        <f t="shared" si="92"/>
        <v>0</v>
      </c>
      <c r="S413" s="119"/>
      <c r="T413" s="120">
        <f t="shared" si="93"/>
        <v>0</v>
      </c>
      <c r="AG413" s="121">
        <f t="shared" si="97"/>
      </c>
      <c r="AH413" s="121">
        <f t="shared" si="98"/>
      </c>
      <c r="AI413" s="121">
        <f t="shared" si="99"/>
      </c>
      <c r="AJ413" s="121">
        <f t="shared" si="100"/>
      </c>
      <c r="AK413" s="121">
        <f t="shared" si="101"/>
      </c>
    </row>
    <row r="414" spans="1:37" ht="15">
      <c r="A414" s="113">
        <v>47027</v>
      </c>
      <c r="B414" s="113" t="e">
        <f t="shared" si="102"/>
        <v>#N/A</v>
      </c>
      <c r="C414" s="108" t="e">
        <f t="shared" si="90"/>
        <v>#N/A</v>
      </c>
      <c r="D414" s="114">
        <f t="shared" si="94"/>
        <v>0</v>
      </c>
      <c r="E414" s="114" t="e">
        <f t="shared" si="103"/>
        <v>#N/A</v>
      </c>
      <c r="F414" s="108" t="e">
        <f t="shared" si="95"/>
        <v>#N/A</v>
      </c>
      <c r="G414" s="114">
        <f t="shared" si="96"/>
        <v>0</v>
      </c>
      <c r="H414" s="110">
        <v>414</v>
      </c>
      <c r="I414" s="115"/>
      <c r="J414" s="116"/>
      <c r="K414" s="115"/>
      <c r="L414" s="116"/>
      <c r="M414" s="117"/>
      <c r="N414" s="118">
        <f>IF(A414&gt;Dados!$C$16,0,IF(A414=Dados!$C$16,1,SUMIF($A$3:$A$500,CONCATENATE("&gt;",TEXT(DATEVALUE(TEXT(A414,"dd/mm/aaaa")),0)),$M$3:$M$500)-SUMIF($A$3:$A$500,CONCATENATE("&gt;",TEXT(Dados!$C$16-1,0)),$M$3:$M$500)+1%))</f>
        <v>0</v>
      </c>
      <c r="O414" s="119"/>
      <c r="P414" s="120">
        <f t="shared" si="91"/>
        <v>0</v>
      </c>
      <c r="Q414" s="119"/>
      <c r="R414" s="120">
        <f t="shared" si="92"/>
        <v>0</v>
      </c>
      <c r="S414" s="119"/>
      <c r="T414" s="120">
        <f t="shared" si="93"/>
        <v>0</v>
      </c>
      <c r="AG414" s="121">
        <f t="shared" si="97"/>
      </c>
      <c r="AH414" s="121">
        <f t="shared" si="98"/>
      </c>
      <c r="AI414" s="121">
        <f t="shared" si="99"/>
      </c>
      <c r="AJ414" s="121">
        <f t="shared" si="100"/>
      </c>
      <c r="AK414" s="121">
        <f t="shared" si="101"/>
      </c>
    </row>
    <row r="415" spans="1:37" ht="15">
      <c r="A415" s="113">
        <v>47058</v>
      </c>
      <c r="B415" s="113" t="e">
        <f t="shared" si="102"/>
        <v>#N/A</v>
      </c>
      <c r="C415" s="108" t="e">
        <f t="shared" si="90"/>
        <v>#N/A</v>
      </c>
      <c r="D415" s="114">
        <f t="shared" si="94"/>
        <v>0</v>
      </c>
      <c r="E415" s="114" t="e">
        <f t="shared" si="103"/>
        <v>#N/A</v>
      </c>
      <c r="F415" s="108" t="e">
        <f t="shared" si="95"/>
        <v>#N/A</v>
      </c>
      <c r="G415" s="114">
        <f t="shared" si="96"/>
        <v>0</v>
      </c>
      <c r="H415" s="110">
        <v>415</v>
      </c>
      <c r="I415" s="115"/>
      <c r="J415" s="116"/>
      <c r="K415" s="115"/>
      <c r="L415" s="116"/>
      <c r="M415" s="117"/>
      <c r="N415" s="118">
        <f>IF(A415&gt;Dados!$C$16,0,IF(A415=Dados!$C$16,1,SUMIF($A$3:$A$500,CONCATENATE("&gt;",TEXT(DATEVALUE(TEXT(A415,"dd/mm/aaaa")),0)),$M$3:$M$500)-SUMIF($A$3:$A$500,CONCATENATE("&gt;",TEXT(Dados!$C$16-1,0)),$M$3:$M$500)+1%))</f>
        <v>0</v>
      </c>
      <c r="O415" s="119"/>
      <c r="P415" s="120">
        <f t="shared" si="91"/>
        <v>0</v>
      </c>
      <c r="Q415" s="119"/>
      <c r="R415" s="120">
        <f t="shared" si="92"/>
        <v>0</v>
      </c>
      <c r="S415" s="119"/>
      <c r="T415" s="120">
        <f t="shared" si="93"/>
        <v>0</v>
      </c>
      <c r="AG415" s="121">
        <f t="shared" si="97"/>
      </c>
      <c r="AH415" s="121">
        <f t="shared" si="98"/>
      </c>
      <c r="AI415" s="121">
        <f t="shared" si="99"/>
      </c>
      <c r="AJ415" s="121">
        <f t="shared" si="100"/>
      </c>
      <c r="AK415" s="121">
        <f t="shared" si="101"/>
      </c>
    </row>
    <row r="416" spans="1:37" ht="15">
      <c r="A416" s="113">
        <v>47088</v>
      </c>
      <c r="B416" s="113" t="e">
        <f t="shared" si="102"/>
        <v>#N/A</v>
      </c>
      <c r="C416" s="108" t="e">
        <f t="shared" si="90"/>
        <v>#N/A</v>
      </c>
      <c r="D416" s="114">
        <f t="shared" si="94"/>
        <v>0</v>
      </c>
      <c r="E416" s="114" t="e">
        <f t="shared" si="103"/>
        <v>#N/A</v>
      </c>
      <c r="F416" s="108" t="e">
        <f t="shared" si="95"/>
        <v>#N/A</v>
      </c>
      <c r="G416" s="114">
        <f t="shared" si="96"/>
        <v>0</v>
      </c>
      <c r="H416" s="110">
        <v>416</v>
      </c>
      <c r="I416" s="115"/>
      <c r="J416" s="116"/>
      <c r="K416" s="115"/>
      <c r="L416" s="116"/>
      <c r="M416" s="117"/>
      <c r="N416" s="118">
        <f>IF(A416&gt;Dados!$C$16,0,IF(A416=Dados!$C$16,1,SUMIF($A$3:$A$500,CONCATENATE("&gt;",TEXT(DATEVALUE(TEXT(A416,"dd/mm/aaaa")),0)),$M$3:$M$500)-SUMIF($A$3:$A$500,CONCATENATE("&gt;",TEXT(Dados!$C$16-1,0)),$M$3:$M$500)+1%))</f>
        <v>0</v>
      </c>
      <c r="O416" s="119"/>
      <c r="P416" s="120">
        <f t="shared" si="91"/>
        <v>0</v>
      </c>
      <c r="Q416" s="119"/>
      <c r="R416" s="120">
        <f t="shared" si="92"/>
        <v>0</v>
      </c>
      <c r="S416" s="119"/>
      <c r="T416" s="120">
        <f t="shared" si="93"/>
        <v>0</v>
      </c>
      <c r="AG416" s="121">
        <f t="shared" si="97"/>
      </c>
      <c r="AH416" s="121">
        <f t="shared" si="98"/>
      </c>
      <c r="AI416" s="121">
        <f t="shared" si="99"/>
      </c>
      <c r="AJ416" s="121">
        <f t="shared" si="100"/>
      </c>
      <c r="AK416" s="121">
        <f t="shared" si="101"/>
      </c>
    </row>
    <row r="417" spans="1:37" ht="15">
      <c r="A417" s="113">
        <v>47119</v>
      </c>
      <c r="B417" s="113" t="e">
        <f t="shared" si="102"/>
        <v>#N/A</v>
      </c>
      <c r="C417" s="108" t="e">
        <f t="shared" si="90"/>
        <v>#N/A</v>
      </c>
      <c r="D417" s="114">
        <f t="shared" si="94"/>
        <v>0</v>
      </c>
      <c r="E417" s="114" t="e">
        <f t="shared" si="103"/>
        <v>#N/A</v>
      </c>
      <c r="F417" s="108" t="e">
        <f t="shared" si="95"/>
        <v>#N/A</v>
      </c>
      <c r="G417" s="114">
        <f t="shared" si="96"/>
        <v>0</v>
      </c>
      <c r="H417" s="110">
        <v>417</v>
      </c>
      <c r="I417" s="115"/>
      <c r="J417" s="116"/>
      <c r="K417" s="115"/>
      <c r="L417" s="116"/>
      <c r="M417" s="117"/>
      <c r="N417" s="118">
        <f>IF(A417&gt;Dados!$C$16,0,IF(A417=Dados!$C$16,1,SUMIF($A$3:$A$500,CONCATENATE("&gt;",TEXT(DATEVALUE(TEXT(A417,"dd/mm/aaaa")),0)),$M$3:$M$500)-SUMIF($A$3:$A$500,CONCATENATE("&gt;",TEXT(Dados!$C$16-1,0)),$M$3:$M$500)+1%))</f>
        <v>0</v>
      </c>
      <c r="O417" s="119"/>
      <c r="P417" s="120">
        <f t="shared" si="91"/>
        <v>0</v>
      </c>
      <c r="Q417" s="119"/>
      <c r="R417" s="120">
        <f t="shared" si="92"/>
        <v>0</v>
      </c>
      <c r="S417" s="119"/>
      <c r="T417" s="120">
        <f t="shared" si="93"/>
        <v>0</v>
      </c>
      <c r="AG417" s="121">
        <f t="shared" si="97"/>
      </c>
      <c r="AH417" s="121">
        <f t="shared" si="98"/>
      </c>
      <c r="AI417" s="121">
        <f t="shared" si="99"/>
      </c>
      <c r="AJ417" s="121">
        <f t="shared" si="100"/>
      </c>
      <c r="AK417" s="121">
        <f t="shared" si="101"/>
      </c>
    </row>
    <row r="418" spans="1:37" ht="15">
      <c r="A418" s="113">
        <v>47150</v>
      </c>
      <c r="B418" s="113" t="e">
        <f t="shared" si="102"/>
        <v>#N/A</v>
      </c>
      <c r="C418" s="108" t="e">
        <f t="shared" si="90"/>
        <v>#N/A</v>
      </c>
      <c r="D418" s="114">
        <f t="shared" si="94"/>
        <v>0</v>
      </c>
      <c r="E418" s="114" t="e">
        <f t="shared" si="103"/>
        <v>#N/A</v>
      </c>
      <c r="F418" s="108" t="e">
        <f t="shared" si="95"/>
        <v>#N/A</v>
      </c>
      <c r="G418" s="114">
        <f t="shared" si="96"/>
        <v>0</v>
      </c>
      <c r="H418" s="110">
        <v>418</v>
      </c>
      <c r="I418" s="115"/>
      <c r="J418" s="116"/>
      <c r="K418" s="115"/>
      <c r="L418" s="116"/>
      <c r="M418" s="117"/>
      <c r="N418" s="118">
        <f>IF(A418&gt;Dados!$C$16,0,IF(A418=Dados!$C$16,1,SUMIF($A$3:$A$500,CONCATENATE("&gt;",TEXT(DATEVALUE(TEXT(A418,"dd/mm/aaaa")),0)),$M$3:$M$500)-SUMIF($A$3:$A$500,CONCATENATE("&gt;",TEXT(Dados!$C$16-1,0)),$M$3:$M$500)+1%))</f>
        <v>0</v>
      </c>
      <c r="O418" s="119"/>
      <c r="P418" s="120">
        <f t="shared" si="91"/>
        <v>0</v>
      </c>
      <c r="Q418" s="119"/>
      <c r="R418" s="120">
        <f t="shared" si="92"/>
        <v>0</v>
      </c>
      <c r="S418" s="119"/>
      <c r="T418" s="120">
        <f t="shared" si="93"/>
        <v>0</v>
      </c>
      <c r="AG418" s="121">
        <f t="shared" si="97"/>
      </c>
      <c r="AH418" s="121">
        <f t="shared" si="98"/>
      </c>
      <c r="AI418" s="121">
        <f t="shared" si="99"/>
      </c>
      <c r="AJ418" s="121">
        <f t="shared" si="100"/>
      </c>
      <c r="AK418" s="121">
        <f t="shared" si="101"/>
      </c>
    </row>
    <row r="419" spans="1:37" ht="15">
      <c r="A419" s="113">
        <v>47178</v>
      </c>
      <c r="B419" s="113" t="e">
        <f t="shared" si="102"/>
        <v>#N/A</v>
      </c>
      <c r="C419" s="108" t="e">
        <f t="shared" si="90"/>
        <v>#N/A</v>
      </c>
      <c r="D419" s="114">
        <f t="shared" si="94"/>
        <v>0</v>
      </c>
      <c r="E419" s="114" t="e">
        <f t="shared" si="103"/>
        <v>#N/A</v>
      </c>
      <c r="F419" s="108" t="e">
        <f t="shared" si="95"/>
        <v>#N/A</v>
      </c>
      <c r="G419" s="114">
        <f t="shared" si="96"/>
        <v>0</v>
      </c>
      <c r="H419" s="110">
        <v>419</v>
      </c>
      <c r="I419" s="115"/>
      <c r="J419" s="116"/>
      <c r="K419" s="115"/>
      <c r="L419" s="116"/>
      <c r="M419" s="117"/>
      <c r="N419" s="118">
        <f>IF(A419&gt;Dados!$C$16,0,IF(A419=Dados!$C$16,1,SUMIF($A$3:$A$500,CONCATENATE("&gt;",TEXT(DATEVALUE(TEXT(A419,"dd/mm/aaaa")),0)),$M$3:$M$500)-SUMIF($A$3:$A$500,CONCATENATE("&gt;",TEXT(Dados!$C$16-1,0)),$M$3:$M$500)+1%))</f>
        <v>0</v>
      </c>
      <c r="O419" s="119"/>
      <c r="P419" s="120">
        <f t="shared" si="91"/>
        <v>0</v>
      </c>
      <c r="Q419" s="119"/>
      <c r="R419" s="120">
        <f t="shared" si="92"/>
        <v>0</v>
      </c>
      <c r="S419" s="119"/>
      <c r="T419" s="120">
        <f t="shared" si="93"/>
        <v>0</v>
      </c>
      <c r="AG419" s="121">
        <f t="shared" si="97"/>
      </c>
      <c r="AH419" s="121">
        <f t="shared" si="98"/>
      </c>
      <c r="AI419" s="121">
        <f t="shared" si="99"/>
      </c>
      <c r="AJ419" s="121">
        <f t="shared" si="100"/>
      </c>
      <c r="AK419" s="121">
        <f t="shared" si="101"/>
      </c>
    </row>
    <row r="420" spans="1:37" ht="15">
      <c r="A420" s="113">
        <v>47209</v>
      </c>
      <c r="B420" s="113" t="e">
        <f t="shared" si="102"/>
        <v>#N/A</v>
      </c>
      <c r="C420" s="108" t="e">
        <f t="shared" si="90"/>
        <v>#N/A</v>
      </c>
      <c r="D420" s="114">
        <f t="shared" si="94"/>
        <v>0</v>
      </c>
      <c r="E420" s="114" t="e">
        <f t="shared" si="103"/>
        <v>#N/A</v>
      </c>
      <c r="F420" s="108" t="e">
        <f t="shared" si="95"/>
        <v>#N/A</v>
      </c>
      <c r="G420" s="114">
        <f t="shared" si="96"/>
        <v>0</v>
      </c>
      <c r="H420" s="110">
        <v>420</v>
      </c>
      <c r="I420" s="115"/>
      <c r="J420" s="116"/>
      <c r="K420" s="115"/>
      <c r="L420" s="116"/>
      <c r="M420" s="117"/>
      <c r="N420" s="118">
        <f>IF(A420&gt;Dados!$C$16,0,IF(A420=Dados!$C$16,1,SUMIF($A$3:$A$500,CONCATENATE("&gt;",TEXT(DATEVALUE(TEXT(A420,"dd/mm/aaaa")),0)),$M$3:$M$500)-SUMIF($A$3:$A$500,CONCATENATE("&gt;",TEXT(Dados!$C$16-1,0)),$M$3:$M$500)+1%))</f>
        <v>0</v>
      </c>
      <c r="O420" s="119"/>
      <c r="P420" s="120">
        <f t="shared" si="91"/>
        <v>0</v>
      </c>
      <c r="Q420" s="119"/>
      <c r="R420" s="120">
        <f t="shared" si="92"/>
        <v>0</v>
      </c>
      <c r="S420" s="119"/>
      <c r="T420" s="120">
        <f t="shared" si="93"/>
        <v>0</v>
      </c>
      <c r="AG420" s="121">
        <f t="shared" si="97"/>
      </c>
      <c r="AH420" s="121">
        <f t="shared" si="98"/>
      </c>
      <c r="AI420" s="121">
        <f t="shared" si="99"/>
      </c>
      <c r="AJ420" s="121">
        <f t="shared" si="100"/>
      </c>
      <c r="AK420" s="121">
        <f t="shared" si="101"/>
      </c>
    </row>
    <row r="421" spans="1:37" ht="15">
      <c r="A421" s="113">
        <v>47239</v>
      </c>
      <c r="B421" s="113" t="e">
        <f t="shared" si="102"/>
        <v>#N/A</v>
      </c>
      <c r="C421" s="108" t="e">
        <f t="shared" si="90"/>
        <v>#N/A</v>
      </c>
      <c r="D421" s="114">
        <f t="shared" si="94"/>
        <v>0</v>
      </c>
      <c r="E421" s="114" t="e">
        <f t="shared" si="103"/>
        <v>#N/A</v>
      </c>
      <c r="F421" s="108" t="e">
        <f t="shared" si="95"/>
        <v>#N/A</v>
      </c>
      <c r="G421" s="114">
        <f t="shared" si="96"/>
        <v>0</v>
      </c>
      <c r="H421" s="110">
        <v>421</v>
      </c>
      <c r="I421" s="115"/>
      <c r="J421" s="116"/>
      <c r="K421" s="115"/>
      <c r="L421" s="116"/>
      <c r="M421" s="117"/>
      <c r="N421" s="118">
        <f>IF(A421&gt;Dados!$C$16,0,IF(A421=Dados!$C$16,1,SUMIF($A$3:$A$500,CONCATENATE("&gt;",TEXT(DATEVALUE(TEXT(A421,"dd/mm/aaaa")),0)),$M$3:$M$500)-SUMIF($A$3:$A$500,CONCATENATE("&gt;",TEXT(Dados!$C$16-1,0)),$M$3:$M$500)+1%))</f>
        <v>0</v>
      </c>
      <c r="O421" s="119"/>
      <c r="P421" s="120">
        <f t="shared" si="91"/>
        <v>0</v>
      </c>
      <c r="Q421" s="119"/>
      <c r="R421" s="120">
        <f t="shared" si="92"/>
        <v>0</v>
      </c>
      <c r="S421" s="119"/>
      <c r="T421" s="120">
        <f t="shared" si="93"/>
        <v>0</v>
      </c>
      <c r="AG421" s="121">
        <f t="shared" si="97"/>
      </c>
      <c r="AH421" s="121">
        <f t="shared" si="98"/>
      </c>
      <c r="AI421" s="121">
        <f t="shared" si="99"/>
      </c>
      <c r="AJ421" s="121">
        <f t="shared" si="100"/>
      </c>
      <c r="AK421" s="121">
        <f t="shared" si="101"/>
      </c>
    </row>
    <row r="422" spans="1:37" ht="15">
      <c r="A422" s="113">
        <v>47270</v>
      </c>
      <c r="B422" s="113" t="e">
        <f t="shared" si="102"/>
        <v>#N/A</v>
      </c>
      <c r="C422" s="108" t="e">
        <f t="shared" si="90"/>
        <v>#N/A</v>
      </c>
      <c r="D422" s="114">
        <f t="shared" si="94"/>
        <v>0</v>
      </c>
      <c r="E422" s="114" t="e">
        <f t="shared" si="103"/>
        <v>#N/A</v>
      </c>
      <c r="F422" s="108" t="e">
        <f t="shared" si="95"/>
        <v>#N/A</v>
      </c>
      <c r="G422" s="114">
        <f t="shared" si="96"/>
        <v>0</v>
      </c>
      <c r="H422" s="110">
        <v>422</v>
      </c>
      <c r="I422" s="115"/>
      <c r="J422" s="116"/>
      <c r="K422" s="115"/>
      <c r="L422" s="116"/>
      <c r="M422" s="117"/>
      <c r="N422" s="118">
        <f>IF(A422&gt;Dados!$C$16,0,IF(A422=Dados!$C$16,1,SUMIF($A$3:$A$500,CONCATENATE("&gt;",TEXT(DATEVALUE(TEXT(A422,"dd/mm/aaaa")),0)),$M$3:$M$500)-SUMIF($A$3:$A$500,CONCATENATE("&gt;",TEXT(Dados!$C$16-1,0)),$M$3:$M$500)+1%))</f>
        <v>0</v>
      </c>
      <c r="O422" s="119"/>
      <c r="P422" s="120">
        <f t="shared" si="91"/>
        <v>0</v>
      </c>
      <c r="Q422" s="119"/>
      <c r="R422" s="120">
        <f t="shared" si="92"/>
        <v>0</v>
      </c>
      <c r="S422" s="119"/>
      <c r="T422" s="120">
        <f t="shared" si="93"/>
        <v>0</v>
      </c>
      <c r="AG422" s="121">
        <f t="shared" si="97"/>
      </c>
      <c r="AH422" s="121">
        <f t="shared" si="98"/>
      </c>
      <c r="AI422" s="121">
        <f t="shared" si="99"/>
      </c>
      <c r="AJ422" s="121">
        <f t="shared" si="100"/>
      </c>
      <c r="AK422" s="121">
        <f t="shared" si="101"/>
      </c>
    </row>
    <row r="423" spans="1:37" ht="15">
      <c r="A423" s="113">
        <v>47300</v>
      </c>
      <c r="B423" s="113" t="e">
        <f t="shared" si="102"/>
        <v>#N/A</v>
      </c>
      <c r="C423" s="108" t="e">
        <f t="shared" si="90"/>
        <v>#N/A</v>
      </c>
      <c r="D423" s="114">
        <f t="shared" si="94"/>
        <v>0</v>
      </c>
      <c r="E423" s="114" t="e">
        <f t="shared" si="103"/>
        <v>#N/A</v>
      </c>
      <c r="F423" s="108" t="e">
        <f t="shared" si="95"/>
        <v>#N/A</v>
      </c>
      <c r="G423" s="114">
        <f t="shared" si="96"/>
        <v>0</v>
      </c>
      <c r="H423" s="110">
        <v>423</v>
      </c>
      <c r="I423" s="115"/>
      <c r="J423" s="116"/>
      <c r="K423" s="115"/>
      <c r="L423" s="116"/>
      <c r="M423" s="117"/>
      <c r="N423" s="118">
        <f>IF(A423&gt;Dados!$C$16,0,IF(A423=Dados!$C$16,1,SUMIF($A$3:$A$500,CONCATENATE("&gt;",TEXT(DATEVALUE(TEXT(A423,"dd/mm/aaaa")),0)),$M$3:$M$500)-SUMIF($A$3:$A$500,CONCATENATE("&gt;",TEXT(Dados!$C$16-1,0)),$M$3:$M$500)+1%))</f>
        <v>0</v>
      </c>
      <c r="O423" s="119"/>
      <c r="P423" s="120">
        <f t="shared" si="91"/>
        <v>0</v>
      </c>
      <c r="Q423" s="119"/>
      <c r="R423" s="120">
        <f t="shared" si="92"/>
        <v>0</v>
      </c>
      <c r="S423" s="119"/>
      <c r="T423" s="120">
        <f t="shared" si="93"/>
        <v>0</v>
      </c>
      <c r="AG423" s="121">
        <f t="shared" si="97"/>
      </c>
      <c r="AH423" s="121">
        <f t="shared" si="98"/>
      </c>
      <c r="AI423" s="121">
        <f t="shared" si="99"/>
      </c>
      <c r="AJ423" s="121">
        <f t="shared" si="100"/>
      </c>
      <c r="AK423" s="121">
        <f t="shared" si="101"/>
      </c>
    </row>
    <row r="424" spans="1:37" ht="15">
      <c r="A424" s="113">
        <v>47331</v>
      </c>
      <c r="B424" s="113" t="e">
        <f t="shared" si="102"/>
        <v>#N/A</v>
      </c>
      <c r="C424" s="108" t="e">
        <f t="shared" si="90"/>
        <v>#N/A</v>
      </c>
      <c r="D424" s="114">
        <f t="shared" si="94"/>
        <v>0</v>
      </c>
      <c r="E424" s="114" t="e">
        <f t="shared" si="103"/>
        <v>#N/A</v>
      </c>
      <c r="F424" s="108" t="e">
        <f t="shared" si="95"/>
        <v>#N/A</v>
      </c>
      <c r="G424" s="114">
        <f t="shared" si="96"/>
        <v>0</v>
      </c>
      <c r="H424" s="110">
        <v>424</v>
      </c>
      <c r="I424" s="115"/>
      <c r="J424" s="116"/>
      <c r="K424" s="115"/>
      <c r="L424" s="116"/>
      <c r="M424" s="117"/>
      <c r="N424" s="118">
        <f>IF(A424&gt;Dados!$C$16,0,IF(A424=Dados!$C$16,1,SUMIF($A$3:$A$500,CONCATENATE("&gt;",TEXT(DATEVALUE(TEXT(A424,"dd/mm/aaaa")),0)),$M$3:$M$500)-SUMIF($A$3:$A$500,CONCATENATE("&gt;",TEXT(Dados!$C$16-1,0)),$M$3:$M$500)+1%))</f>
        <v>0</v>
      </c>
      <c r="O424" s="119"/>
      <c r="P424" s="120">
        <f t="shared" si="91"/>
        <v>0</v>
      </c>
      <c r="Q424" s="119"/>
      <c r="R424" s="120">
        <f t="shared" si="92"/>
        <v>0</v>
      </c>
      <c r="S424" s="119"/>
      <c r="T424" s="120">
        <f t="shared" si="93"/>
        <v>0</v>
      </c>
      <c r="AG424" s="121">
        <f t="shared" si="97"/>
      </c>
      <c r="AH424" s="121">
        <f t="shared" si="98"/>
      </c>
      <c r="AI424" s="121">
        <f t="shared" si="99"/>
      </c>
      <c r="AJ424" s="121">
        <f t="shared" si="100"/>
      </c>
      <c r="AK424" s="121">
        <f t="shared" si="101"/>
      </c>
    </row>
    <row r="425" spans="1:37" ht="15">
      <c r="A425" s="113">
        <v>47362</v>
      </c>
      <c r="B425" s="113" t="e">
        <f t="shared" si="102"/>
        <v>#N/A</v>
      </c>
      <c r="C425" s="108" t="e">
        <f t="shared" si="90"/>
        <v>#N/A</v>
      </c>
      <c r="D425" s="114">
        <f t="shared" si="94"/>
        <v>0</v>
      </c>
      <c r="E425" s="114" t="e">
        <f t="shared" si="103"/>
        <v>#N/A</v>
      </c>
      <c r="F425" s="108" t="e">
        <f t="shared" si="95"/>
        <v>#N/A</v>
      </c>
      <c r="G425" s="114">
        <f t="shared" si="96"/>
        <v>0</v>
      </c>
      <c r="H425" s="110">
        <v>425</v>
      </c>
      <c r="I425" s="115"/>
      <c r="J425" s="116"/>
      <c r="K425" s="115"/>
      <c r="L425" s="116"/>
      <c r="M425" s="117"/>
      <c r="N425" s="118">
        <f>IF(A425&gt;Dados!$C$16,0,IF(A425=Dados!$C$16,1,SUMIF($A$3:$A$500,CONCATENATE("&gt;",TEXT(DATEVALUE(TEXT(A425,"dd/mm/aaaa")),0)),$M$3:$M$500)-SUMIF($A$3:$A$500,CONCATENATE("&gt;",TEXT(Dados!$C$16-1,0)),$M$3:$M$500)+1%))</f>
        <v>0</v>
      </c>
      <c r="O425" s="119"/>
      <c r="P425" s="120">
        <f t="shared" si="91"/>
        <v>0</v>
      </c>
      <c r="Q425" s="119"/>
      <c r="R425" s="120">
        <f t="shared" si="92"/>
        <v>0</v>
      </c>
      <c r="S425" s="119"/>
      <c r="T425" s="120">
        <f t="shared" si="93"/>
        <v>0</v>
      </c>
      <c r="AG425" s="121">
        <f t="shared" si="97"/>
      </c>
      <c r="AH425" s="121">
        <f t="shared" si="98"/>
      </c>
      <c r="AI425" s="121">
        <f t="shared" si="99"/>
      </c>
      <c r="AJ425" s="121">
        <f t="shared" si="100"/>
      </c>
      <c r="AK425" s="121">
        <f t="shared" si="101"/>
      </c>
    </row>
    <row r="426" spans="1:37" ht="15">
      <c r="A426" s="113">
        <v>47392</v>
      </c>
      <c r="B426" s="113" t="e">
        <f t="shared" si="102"/>
        <v>#N/A</v>
      </c>
      <c r="C426" s="108" t="e">
        <f t="shared" si="90"/>
        <v>#N/A</v>
      </c>
      <c r="D426" s="114">
        <f t="shared" si="94"/>
        <v>0</v>
      </c>
      <c r="E426" s="114" t="e">
        <f t="shared" si="103"/>
        <v>#N/A</v>
      </c>
      <c r="F426" s="108" t="e">
        <f t="shared" si="95"/>
        <v>#N/A</v>
      </c>
      <c r="G426" s="114">
        <f t="shared" si="96"/>
        <v>0</v>
      </c>
      <c r="H426" s="110">
        <v>426</v>
      </c>
      <c r="I426" s="115"/>
      <c r="J426" s="116"/>
      <c r="K426" s="115"/>
      <c r="L426" s="116"/>
      <c r="M426" s="117"/>
      <c r="N426" s="118">
        <f>IF(A426&gt;Dados!$C$16,0,IF(A426=Dados!$C$16,1,SUMIF($A$3:$A$500,CONCATENATE("&gt;",TEXT(DATEVALUE(TEXT(A426,"dd/mm/aaaa")),0)),$M$3:$M$500)-SUMIF($A$3:$A$500,CONCATENATE("&gt;",TEXT(Dados!$C$16-1,0)),$M$3:$M$500)+1%))</f>
        <v>0</v>
      </c>
      <c r="O426" s="119"/>
      <c r="P426" s="120">
        <f t="shared" si="91"/>
        <v>0</v>
      </c>
      <c r="Q426" s="119"/>
      <c r="R426" s="120">
        <f t="shared" si="92"/>
        <v>0</v>
      </c>
      <c r="S426" s="119"/>
      <c r="T426" s="120">
        <f t="shared" si="93"/>
        <v>0</v>
      </c>
      <c r="AG426" s="121">
        <f t="shared" si="97"/>
      </c>
      <c r="AH426" s="121">
        <f t="shared" si="98"/>
      </c>
      <c r="AI426" s="121">
        <f t="shared" si="99"/>
      </c>
      <c r="AJ426" s="121">
        <f t="shared" si="100"/>
      </c>
      <c r="AK426" s="121">
        <f t="shared" si="101"/>
      </c>
    </row>
    <row r="427" spans="1:37" ht="15">
      <c r="A427" s="113">
        <v>47423</v>
      </c>
      <c r="B427" s="113" t="e">
        <f t="shared" si="102"/>
        <v>#N/A</v>
      </c>
      <c r="C427" s="108" t="e">
        <f t="shared" si="90"/>
        <v>#N/A</v>
      </c>
      <c r="D427" s="114">
        <f t="shared" si="94"/>
        <v>0</v>
      </c>
      <c r="E427" s="114" t="e">
        <f t="shared" si="103"/>
        <v>#N/A</v>
      </c>
      <c r="F427" s="108" t="e">
        <f t="shared" si="95"/>
        <v>#N/A</v>
      </c>
      <c r="G427" s="114">
        <f t="shared" si="96"/>
        <v>0</v>
      </c>
      <c r="H427" s="110">
        <v>427</v>
      </c>
      <c r="I427" s="115"/>
      <c r="J427" s="116"/>
      <c r="K427" s="115"/>
      <c r="L427" s="116"/>
      <c r="M427" s="117"/>
      <c r="N427" s="118">
        <f>IF(A427&gt;Dados!$C$16,0,IF(A427=Dados!$C$16,1,SUMIF($A$3:$A$500,CONCATENATE("&gt;",TEXT(DATEVALUE(TEXT(A427,"dd/mm/aaaa")),0)),$M$3:$M$500)-SUMIF($A$3:$A$500,CONCATENATE("&gt;",TEXT(Dados!$C$16-1,0)),$M$3:$M$500)+1%))</f>
        <v>0</v>
      </c>
      <c r="O427" s="119"/>
      <c r="P427" s="120">
        <f t="shared" si="91"/>
        <v>0</v>
      </c>
      <c r="Q427" s="119"/>
      <c r="R427" s="120">
        <f t="shared" si="92"/>
        <v>0</v>
      </c>
      <c r="S427" s="119"/>
      <c r="T427" s="120">
        <f t="shared" si="93"/>
        <v>0</v>
      </c>
      <c r="AG427" s="121">
        <f t="shared" si="97"/>
      </c>
      <c r="AH427" s="121">
        <f t="shared" si="98"/>
      </c>
      <c r="AI427" s="121">
        <f t="shared" si="99"/>
      </c>
      <c r="AJ427" s="121">
        <f t="shared" si="100"/>
      </c>
      <c r="AK427" s="121">
        <f t="shared" si="101"/>
      </c>
    </row>
    <row r="428" spans="1:37" ht="15">
      <c r="A428" s="113">
        <v>47453</v>
      </c>
      <c r="B428" s="113" t="e">
        <f t="shared" si="102"/>
        <v>#N/A</v>
      </c>
      <c r="C428" s="108" t="e">
        <f t="shared" si="90"/>
        <v>#N/A</v>
      </c>
      <c r="D428" s="114">
        <f t="shared" si="94"/>
        <v>0</v>
      </c>
      <c r="E428" s="114" t="e">
        <f t="shared" si="103"/>
        <v>#N/A</v>
      </c>
      <c r="F428" s="108" t="e">
        <f t="shared" si="95"/>
        <v>#N/A</v>
      </c>
      <c r="G428" s="114">
        <f t="shared" si="96"/>
        <v>0</v>
      </c>
      <c r="H428" s="110">
        <v>428</v>
      </c>
      <c r="I428" s="115"/>
      <c r="J428" s="116"/>
      <c r="K428" s="115"/>
      <c r="L428" s="116"/>
      <c r="M428" s="117"/>
      <c r="N428" s="118">
        <f>IF(A428&gt;Dados!$C$16,0,IF(A428=Dados!$C$16,1,SUMIF($A$3:$A$500,CONCATENATE("&gt;",TEXT(DATEVALUE(TEXT(A428,"dd/mm/aaaa")),0)),$M$3:$M$500)-SUMIF($A$3:$A$500,CONCATENATE("&gt;",TEXT(Dados!$C$16-1,0)),$M$3:$M$500)+1%))</f>
        <v>0</v>
      </c>
      <c r="O428" s="119"/>
      <c r="P428" s="120">
        <f t="shared" si="91"/>
        <v>0</v>
      </c>
      <c r="Q428" s="119"/>
      <c r="R428" s="120">
        <f t="shared" si="92"/>
        <v>0</v>
      </c>
      <c r="S428" s="119"/>
      <c r="T428" s="120">
        <f t="shared" si="93"/>
        <v>0</v>
      </c>
      <c r="AG428" s="121">
        <f t="shared" si="97"/>
      </c>
      <c r="AH428" s="121">
        <f t="shared" si="98"/>
      </c>
      <c r="AI428" s="121">
        <f t="shared" si="99"/>
      </c>
      <c r="AJ428" s="121">
        <f t="shared" si="100"/>
      </c>
      <c r="AK428" s="121">
        <f t="shared" si="101"/>
      </c>
    </row>
    <row r="429" spans="1:37" ht="15">
      <c r="A429" s="113">
        <v>47484</v>
      </c>
      <c r="B429" s="113" t="e">
        <f t="shared" si="102"/>
        <v>#N/A</v>
      </c>
      <c r="C429" s="108" t="e">
        <f t="shared" si="90"/>
        <v>#N/A</v>
      </c>
      <c r="D429" s="114">
        <f t="shared" si="94"/>
        <v>0</v>
      </c>
      <c r="E429" s="114" t="e">
        <f t="shared" si="103"/>
        <v>#N/A</v>
      </c>
      <c r="F429" s="108" t="e">
        <f t="shared" si="95"/>
        <v>#N/A</v>
      </c>
      <c r="G429" s="114">
        <f t="shared" si="96"/>
        <v>0</v>
      </c>
      <c r="H429" s="110">
        <v>429</v>
      </c>
      <c r="I429" s="115"/>
      <c r="J429" s="116"/>
      <c r="K429" s="115"/>
      <c r="L429" s="116"/>
      <c r="M429" s="117"/>
      <c r="N429" s="118">
        <f>IF(A429&gt;Dados!$C$16,0,IF(A429=Dados!$C$16,1,SUMIF($A$3:$A$500,CONCATENATE("&gt;",TEXT(DATEVALUE(TEXT(A429,"dd/mm/aaaa")),0)),$M$3:$M$500)-SUMIF($A$3:$A$500,CONCATENATE("&gt;",TEXT(Dados!$C$16-1,0)),$M$3:$M$500)+1%))</f>
        <v>0</v>
      </c>
      <c r="O429" s="119"/>
      <c r="P429" s="120">
        <f t="shared" si="91"/>
        <v>0</v>
      </c>
      <c r="Q429" s="119"/>
      <c r="R429" s="120">
        <f t="shared" si="92"/>
        <v>0</v>
      </c>
      <c r="S429" s="119"/>
      <c r="T429" s="120">
        <f t="shared" si="93"/>
        <v>0</v>
      </c>
      <c r="AG429" s="121">
        <f t="shared" si="97"/>
      </c>
      <c r="AH429" s="121">
        <f t="shared" si="98"/>
      </c>
      <c r="AI429" s="121">
        <f t="shared" si="99"/>
      </c>
      <c r="AJ429" s="121">
        <f t="shared" si="100"/>
      </c>
      <c r="AK429" s="121">
        <f t="shared" si="101"/>
      </c>
    </row>
    <row r="430" spans="1:37" ht="15">
      <c r="A430" s="113">
        <v>47515</v>
      </c>
      <c r="B430" s="113" t="e">
        <f t="shared" si="102"/>
        <v>#N/A</v>
      </c>
      <c r="C430" s="108" t="e">
        <f t="shared" si="90"/>
        <v>#N/A</v>
      </c>
      <c r="D430" s="114">
        <f t="shared" si="94"/>
        <v>0</v>
      </c>
      <c r="E430" s="114" t="e">
        <f t="shared" si="103"/>
        <v>#N/A</v>
      </c>
      <c r="F430" s="108" t="e">
        <f t="shared" si="95"/>
        <v>#N/A</v>
      </c>
      <c r="G430" s="114">
        <f t="shared" si="96"/>
        <v>0</v>
      </c>
      <c r="H430" s="110">
        <v>430</v>
      </c>
      <c r="I430" s="115"/>
      <c r="J430" s="116"/>
      <c r="K430" s="115"/>
      <c r="L430" s="116"/>
      <c r="M430" s="117"/>
      <c r="N430" s="118">
        <f>IF(A430&gt;Dados!$C$16,0,IF(A430=Dados!$C$16,1,SUMIF($A$3:$A$500,CONCATENATE("&gt;",TEXT(DATEVALUE(TEXT(A430,"dd/mm/aaaa")),0)),$M$3:$M$500)-SUMIF($A$3:$A$500,CONCATENATE("&gt;",TEXT(Dados!$C$16-1,0)),$M$3:$M$500)+1%))</f>
        <v>0</v>
      </c>
      <c r="O430" s="119"/>
      <c r="P430" s="120">
        <f t="shared" si="91"/>
        <v>0</v>
      </c>
      <c r="Q430" s="119"/>
      <c r="R430" s="120">
        <f t="shared" si="92"/>
        <v>0</v>
      </c>
      <c r="S430" s="119"/>
      <c r="T430" s="120">
        <f t="shared" si="93"/>
        <v>0</v>
      </c>
      <c r="AG430" s="121">
        <f t="shared" si="97"/>
      </c>
      <c r="AH430" s="121">
        <f t="shared" si="98"/>
      </c>
      <c r="AI430" s="121">
        <f t="shared" si="99"/>
      </c>
      <c r="AJ430" s="121">
        <f t="shared" si="100"/>
      </c>
      <c r="AK430" s="121">
        <f t="shared" si="101"/>
      </c>
    </row>
    <row r="431" spans="1:37" ht="15">
      <c r="A431" s="113">
        <v>47543</v>
      </c>
      <c r="B431" s="113" t="e">
        <f t="shared" si="102"/>
        <v>#N/A</v>
      </c>
      <c r="C431" s="108" t="e">
        <f t="shared" si="90"/>
        <v>#N/A</v>
      </c>
      <c r="D431" s="114">
        <f t="shared" si="94"/>
        <v>0</v>
      </c>
      <c r="E431" s="114" t="e">
        <f t="shared" si="103"/>
        <v>#N/A</v>
      </c>
      <c r="F431" s="108" t="e">
        <f t="shared" si="95"/>
        <v>#N/A</v>
      </c>
      <c r="G431" s="114">
        <f t="shared" si="96"/>
        <v>0</v>
      </c>
      <c r="H431" s="110">
        <v>431</v>
      </c>
      <c r="I431" s="115"/>
      <c r="J431" s="116"/>
      <c r="K431" s="115"/>
      <c r="L431" s="116"/>
      <c r="M431" s="117"/>
      <c r="N431" s="118">
        <f>IF(A431&gt;Dados!$C$16,0,IF(A431=Dados!$C$16,1,SUMIF($A$3:$A$500,CONCATENATE("&gt;",TEXT(DATEVALUE(TEXT(A431,"dd/mm/aaaa")),0)),$M$3:$M$500)-SUMIF($A$3:$A$500,CONCATENATE("&gt;",TEXT(Dados!$C$16-1,0)),$M$3:$M$500)+1%))</f>
        <v>0</v>
      </c>
      <c r="O431" s="119"/>
      <c r="P431" s="120">
        <f t="shared" si="91"/>
        <v>0</v>
      </c>
      <c r="Q431" s="119"/>
      <c r="R431" s="120">
        <f t="shared" si="92"/>
        <v>0</v>
      </c>
      <c r="S431" s="119"/>
      <c r="T431" s="120">
        <f t="shared" si="93"/>
        <v>0</v>
      </c>
      <c r="AG431" s="121">
        <f t="shared" si="97"/>
      </c>
      <c r="AH431" s="121">
        <f t="shared" si="98"/>
      </c>
      <c r="AI431" s="121">
        <f t="shared" si="99"/>
      </c>
      <c r="AJ431" s="121">
        <f t="shared" si="100"/>
      </c>
      <c r="AK431" s="121">
        <f t="shared" si="101"/>
      </c>
    </row>
    <row r="432" spans="1:37" ht="15">
      <c r="A432" s="113">
        <v>47574</v>
      </c>
      <c r="B432" s="113" t="e">
        <f t="shared" si="102"/>
        <v>#N/A</v>
      </c>
      <c r="C432" s="108" t="e">
        <f t="shared" si="90"/>
        <v>#N/A</v>
      </c>
      <c r="D432" s="114">
        <f t="shared" si="94"/>
        <v>0</v>
      </c>
      <c r="E432" s="114" t="e">
        <f t="shared" si="103"/>
        <v>#N/A</v>
      </c>
      <c r="F432" s="108" t="e">
        <f t="shared" si="95"/>
        <v>#N/A</v>
      </c>
      <c r="G432" s="114">
        <f t="shared" si="96"/>
        <v>0</v>
      </c>
      <c r="H432" s="110">
        <v>432</v>
      </c>
      <c r="I432" s="115"/>
      <c r="J432" s="116"/>
      <c r="K432" s="115"/>
      <c r="L432" s="116"/>
      <c r="M432" s="117"/>
      <c r="N432" s="118">
        <f>IF(A432&gt;Dados!$C$16,0,IF(A432=Dados!$C$16,1,SUMIF($A$3:$A$500,CONCATENATE("&gt;",TEXT(DATEVALUE(TEXT(A432,"dd/mm/aaaa")),0)),$M$3:$M$500)-SUMIF($A$3:$A$500,CONCATENATE("&gt;",TEXT(Dados!$C$16-1,0)),$M$3:$M$500)+1%))</f>
        <v>0</v>
      </c>
      <c r="O432" s="119"/>
      <c r="P432" s="120">
        <f t="shared" si="91"/>
        <v>0</v>
      </c>
      <c r="Q432" s="119"/>
      <c r="R432" s="120">
        <f t="shared" si="92"/>
        <v>0</v>
      </c>
      <c r="S432" s="119"/>
      <c r="T432" s="120">
        <f t="shared" si="93"/>
        <v>0</v>
      </c>
      <c r="AG432" s="121">
        <f t="shared" si="97"/>
      </c>
      <c r="AH432" s="121">
        <f t="shared" si="98"/>
      </c>
      <c r="AI432" s="121">
        <f t="shared" si="99"/>
      </c>
      <c r="AJ432" s="121">
        <f t="shared" si="100"/>
      </c>
      <c r="AK432" s="121">
        <f t="shared" si="101"/>
      </c>
    </row>
    <row r="433" spans="1:37" ht="15">
      <c r="A433" s="113">
        <v>47604</v>
      </c>
      <c r="B433" s="113" t="e">
        <f t="shared" si="102"/>
        <v>#N/A</v>
      </c>
      <c r="C433" s="108" t="e">
        <f t="shared" si="90"/>
        <v>#N/A</v>
      </c>
      <c r="D433" s="114">
        <f t="shared" si="94"/>
        <v>0</v>
      </c>
      <c r="E433" s="114" t="e">
        <f t="shared" si="103"/>
        <v>#N/A</v>
      </c>
      <c r="F433" s="108" t="e">
        <f t="shared" si="95"/>
        <v>#N/A</v>
      </c>
      <c r="G433" s="114">
        <f t="shared" si="96"/>
        <v>0</v>
      </c>
      <c r="H433" s="110">
        <v>433</v>
      </c>
      <c r="I433" s="115"/>
      <c r="J433" s="116"/>
      <c r="K433" s="115"/>
      <c r="L433" s="116"/>
      <c r="M433" s="117"/>
      <c r="N433" s="118">
        <f>IF(A433&gt;Dados!$C$16,0,IF(A433=Dados!$C$16,1,SUMIF($A$3:$A$500,CONCATENATE("&gt;",TEXT(DATEVALUE(TEXT(A433,"dd/mm/aaaa")),0)),$M$3:$M$500)-SUMIF($A$3:$A$500,CONCATENATE("&gt;",TEXT(Dados!$C$16-1,0)),$M$3:$M$500)+1%))</f>
        <v>0</v>
      </c>
      <c r="O433" s="119"/>
      <c r="P433" s="120">
        <f t="shared" si="91"/>
        <v>0</v>
      </c>
      <c r="Q433" s="119"/>
      <c r="R433" s="120">
        <f t="shared" si="92"/>
        <v>0</v>
      </c>
      <c r="S433" s="119"/>
      <c r="T433" s="120">
        <f t="shared" si="93"/>
        <v>0</v>
      </c>
      <c r="AG433" s="121">
        <f t="shared" si="97"/>
      </c>
      <c r="AH433" s="121">
        <f t="shared" si="98"/>
      </c>
      <c r="AI433" s="121">
        <f t="shared" si="99"/>
      </c>
      <c r="AJ433" s="121">
        <f t="shared" si="100"/>
      </c>
      <c r="AK433" s="121">
        <f t="shared" si="101"/>
      </c>
    </row>
    <row r="434" spans="1:37" ht="15">
      <c r="A434" s="113">
        <v>47635</v>
      </c>
      <c r="B434" s="113" t="e">
        <f t="shared" si="102"/>
        <v>#N/A</v>
      </c>
      <c r="C434" s="108" t="e">
        <f t="shared" si="90"/>
        <v>#N/A</v>
      </c>
      <c r="D434" s="114">
        <f t="shared" si="94"/>
        <v>0</v>
      </c>
      <c r="E434" s="114" t="e">
        <f t="shared" si="103"/>
        <v>#N/A</v>
      </c>
      <c r="F434" s="108" t="e">
        <f t="shared" si="95"/>
        <v>#N/A</v>
      </c>
      <c r="G434" s="114">
        <f t="shared" si="96"/>
        <v>0</v>
      </c>
      <c r="H434" s="110">
        <v>434</v>
      </c>
      <c r="I434" s="115"/>
      <c r="J434" s="116"/>
      <c r="K434" s="115"/>
      <c r="L434" s="116"/>
      <c r="M434" s="117"/>
      <c r="N434" s="118">
        <f>IF(A434&gt;Dados!$C$16,0,IF(A434=Dados!$C$16,1,SUMIF($A$3:$A$500,CONCATENATE("&gt;",TEXT(DATEVALUE(TEXT(A434,"dd/mm/aaaa")),0)),$M$3:$M$500)-SUMIF($A$3:$A$500,CONCATENATE("&gt;",TEXT(Dados!$C$16-1,0)),$M$3:$M$500)+1%))</f>
        <v>0</v>
      </c>
      <c r="O434" s="119"/>
      <c r="P434" s="120">
        <f t="shared" si="91"/>
        <v>0</v>
      </c>
      <c r="Q434" s="119"/>
      <c r="R434" s="120">
        <f t="shared" si="92"/>
        <v>0</v>
      </c>
      <c r="S434" s="119"/>
      <c r="T434" s="120">
        <f t="shared" si="93"/>
        <v>0</v>
      </c>
      <c r="AG434" s="121">
        <f t="shared" si="97"/>
      </c>
      <c r="AH434" s="121">
        <f t="shared" si="98"/>
      </c>
      <c r="AI434" s="121">
        <f t="shared" si="99"/>
      </c>
      <c r="AJ434" s="121">
        <f t="shared" si="100"/>
      </c>
      <c r="AK434" s="121">
        <f t="shared" si="101"/>
      </c>
    </row>
    <row r="435" spans="1:37" ht="15">
      <c r="A435" s="113">
        <v>47665</v>
      </c>
      <c r="B435" s="113" t="e">
        <f t="shared" si="102"/>
        <v>#N/A</v>
      </c>
      <c r="C435" s="108" t="e">
        <f t="shared" si="90"/>
        <v>#N/A</v>
      </c>
      <c r="D435" s="114">
        <f t="shared" si="94"/>
        <v>0</v>
      </c>
      <c r="E435" s="114" t="e">
        <f t="shared" si="103"/>
        <v>#N/A</v>
      </c>
      <c r="F435" s="108" t="e">
        <f t="shared" si="95"/>
        <v>#N/A</v>
      </c>
      <c r="G435" s="114">
        <f t="shared" si="96"/>
        <v>0</v>
      </c>
      <c r="H435" s="110">
        <v>435</v>
      </c>
      <c r="I435" s="115"/>
      <c r="J435" s="116"/>
      <c r="K435" s="115"/>
      <c r="L435" s="116"/>
      <c r="M435" s="117"/>
      <c r="N435" s="118">
        <f>IF(A435&gt;Dados!$C$16,0,IF(A435=Dados!$C$16,1,SUMIF($A$3:$A$500,CONCATENATE("&gt;",TEXT(DATEVALUE(TEXT(A435,"dd/mm/aaaa")),0)),$M$3:$M$500)-SUMIF($A$3:$A$500,CONCATENATE("&gt;",TEXT(Dados!$C$16-1,0)),$M$3:$M$500)+1%))</f>
        <v>0</v>
      </c>
      <c r="O435" s="119"/>
      <c r="P435" s="120">
        <f t="shared" si="91"/>
        <v>0</v>
      </c>
      <c r="Q435" s="119"/>
      <c r="R435" s="120">
        <f t="shared" si="92"/>
        <v>0</v>
      </c>
      <c r="S435" s="119"/>
      <c r="T435" s="120">
        <f t="shared" si="93"/>
        <v>0</v>
      </c>
      <c r="AG435" s="121">
        <f t="shared" si="97"/>
      </c>
      <c r="AH435" s="121">
        <f t="shared" si="98"/>
      </c>
      <c r="AI435" s="121">
        <f t="shared" si="99"/>
      </c>
      <c r="AJ435" s="121">
        <f t="shared" si="100"/>
      </c>
      <c r="AK435" s="121">
        <f t="shared" si="101"/>
      </c>
    </row>
    <row r="436" spans="1:37" ht="15">
      <c r="A436" s="113">
        <v>47696</v>
      </c>
      <c r="B436" s="113" t="e">
        <f t="shared" si="102"/>
        <v>#N/A</v>
      </c>
      <c r="C436" s="108" t="e">
        <f t="shared" si="90"/>
        <v>#N/A</v>
      </c>
      <c r="D436" s="114">
        <f t="shared" si="94"/>
        <v>0</v>
      </c>
      <c r="E436" s="114" t="e">
        <f t="shared" si="103"/>
        <v>#N/A</v>
      </c>
      <c r="F436" s="108" t="e">
        <f t="shared" si="95"/>
        <v>#N/A</v>
      </c>
      <c r="G436" s="114">
        <f t="shared" si="96"/>
        <v>0</v>
      </c>
      <c r="H436" s="110">
        <v>436</v>
      </c>
      <c r="I436" s="115"/>
      <c r="J436" s="116"/>
      <c r="K436" s="115"/>
      <c r="L436" s="116"/>
      <c r="M436" s="117"/>
      <c r="N436" s="118">
        <f>IF(A436&gt;Dados!$C$16,0,IF(A436=Dados!$C$16,1,SUMIF($A$3:$A$500,CONCATENATE("&gt;",TEXT(DATEVALUE(TEXT(A436,"dd/mm/aaaa")),0)),$M$3:$M$500)-SUMIF($A$3:$A$500,CONCATENATE("&gt;",TEXT(Dados!$C$16-1,0)),$M$3:$M$500)+1%))</f>
        <v>0</v>
      </c>
      <c r="O436" s="119"/>
      <c r="P436" s="120">
        <f t="shared" si="91"/>
        <v>0</v>
      </c>
      <c r="Q436" s="119"/>
      <c r="R436" s="120">
        <f t="shared" si="92"/>
        <v>0</v>
      </c>
      <c r="S436" s="119"/>
      <c r="T436" s="120">
        <f t="shared" si="93"/>
        <v>0</v>
      </c>
      <c r="AG436" s="121">
        <f t="shared" si="97"/>
      </c>
      <c r="AH436" s="121">
        <f t="shared" si="98"/>
      </c>
      <c r="AI436" s="121">
        <f t="shared" si="99"/>
      </c>
      <c r="AJ436" s="121">
        <f t="shared" si="100"/>
      </c>
      <c r="AK436" s="121">
        <f t="shared" si="101"/>
      </c>
    </row>
    <row r="437" spans="1:37" ht="15">
      <c r="A437" s="113">
        <v>47727</v>
      </c>
      <c r="B437" s="113" t="e">
        <f t="shared" si="102"/>
        <v>#N/A</v>
      </c>
      <c r="C437" s="108" t="e">
        <f t="shared" si="90"/>
        <v>#N/A</v>
      </c>
      <c r="D437" s="114">
        <f t="shared" si="94"/>
        <v>0</v>
      </c>
      <c r="E437" s="114" t="e">
        <f t="shared" si="103"/>
        <v>#N/A</v>
      </c>
      <c r="F437" s="108" t="e">
        <f t="shared" si="95"/>
        <v>#N/A</v>
      </c>
      <c r="G437" s="114">
        <f t="shared" si="96"/>
        <v>0</v>
      </c>
      <c r="H437" s="110">
        <v>437</v>
      </c>
      <c r="I437" s="115"/>
      <c r="J437" s="116"/>
      <c r="K437" s="115"/>
      <c r="L437" s="116"/>
      <c r="M437" s="117"/>
      <c r="N437" s="118">
        <f>IF(A437&gt;Dados!$C$16,0,IF(A437=Dados!$C$16,1,SUMIF($A$3:$A$500,CONCATENATE("&gt;",TEXT(DATEVALUE(TEXT(A437,"dd/mm/aaaa")),0)),$M$3:$M$500)-SUMIF($A$3:$A$500,CONCATENATE("&gt;",TEXT(Dados!$C$16-1,0)),$M$3:$M$500)+1%))</f>
        <v>0</v>
      </c>
      <c r="O437" s="119"/>
      <c r="P437" s="120">
        <f t="shared" si="91"/>
        <v>0</v>
      </c>
      <c r="Q437" s="119"/>
      <c r="R437" s="120">
        <f t="shared" si="92"/>
        <v>0</v>
      </c>
      <c r="S437" s="119"/>
      <c r="T437" s="120">
        <f t="shared" si="93"/>
        <v>0</v>
      </c>
      <c r="AG437" s="121">
        <f t="shared" si="97"/>
      </c>
      <c r="AH437" s="121">
        <f t="shared" si="98"/>
      </c>
      <c r="AI437" s="121">
        <f t="shared" si="99"/>
      </c>
      <c r="AJ437" s="121">
        <f t="shared" si="100"/>
      </c>
      <c r="AK437" s="121">
        <f t="shared" si="101"/>
      </c>
    </row>
    <row r="438" spans="1:37" ht="15">
      <c r="A438" s="113">
        <v>47757</v>
      </c>
      <c r="B438" s="113" t="e">
        <f t="shared" si="102"/>
        <v>#N/A</v>
      </c>
      <c r="C438" s="108" t="e">
        <f t="shared" si="90"/>
        <v>#N/A</v>
      </c>
      <c r="D438" s="114">
        <f t="shared" si="94"/>
        <v>0</v>
      </c>
      <c r="E438" s="114" t="e">
        <f t="shared" si="103"/>
        <v>#N/A</v>
      </c>
      <c r="F438" s="108" t="e">
        <f t="shared" si="95"/>
        <v>#N/A</v>
      </c>
      <c r="G438" s="114">
        <f t="shared" si="96"/>
        <v>0</v>
      </c>
      <c r="H438" s="110">
        <v>438</v>
      </c>
      <c r="I438" s="115"/>
      <c r="J438" s="116"/>
      <c r="K438" s="115"/>
      <c r="L438" s="116"/>
      <c r="M438" s="117"/>
      <c r="N438" s="118">
        <f>IF(A438&gt;Dados!$C$16,0,IF(A438=Dados!$C$16,1,SUMIF($A$3:$A$500,CONCATENATE("&gt;",TEXT(DATEVALUE(TEXT(A438,"dd/mm/aaaa")),0)),$M$3:$M$500)-SUMIF($A$3:$A$500,CONCATENATE("&gt;",TEXT(Dados!$C$16-1,0)),$M$3:$M$500)+1%))</f>
        <v>0</v>
      </c>
      <c r="O438" s="119"/>
      <c r="P438" s="120">
        <f t="shared" si="91"/>
        <v>0</v>
      </c>
      <c r="Q438" s="119"/>
      <c r="R438" s="120">
        <f t="shared" si="92"/>
        <v>0</v>
      </c>
      <c r="S438" s="119"/>
      <c r="T438" s="120">
        <f t="shared" si="93"/>
        <v>0</v>
      </c>
      <c r="AG438" s="121">
        <f t="shared" si="97"/>
      </c>
      <c r="AH438" s="121">
        <f t="shared" si="98"/>
      </c>
      <c r="AI438" s="121">
        <f t="shared" si="99"/>
      </c>
      <c r="AJ438" s="121">
        <f t="shared" si="100"/>
      </c>
      <c r="AK438" s="121">
        <f t="shared" si="101"/>
      </c>
    </row>
    <row r="439" spans="1:37" ht="15">
      <c r="A439" s="113">
        <v>47788</v>
      </c>
      <c r="B439" s="113" t="e">
        <f t="shared" si="102"/>
        <v>#N/A</v>
      </c>
      <c r="C439" s="108" t="e">
        <f t="shared" si="90"/>
        <v>#N/A</v>
      </c>
      <c r="D439" s="114">
        <f t="shared" si="94"/>
        <v>0</v>
      </c>
      <c r="E439" s="114" t="e">
        <f t="shared" si="103"/>
        <v>#N/A</v>
      </c>
      <c r="F439" s="108" t="e">
        <f t="shared" si="95"/>
        <v>#N/A</v>
      </c>
      <c r="G439" s="114">
        <f t="shared" si="96"/>
        <v>0</v>
      </c>
      <c r="H439" s="110">
        <v>439</v>
      </c>
      <c r="I439" s="115"/>
      <c r="J439" s="116"/>
      <c r="K439" s="115"/>
      <c r="L439" s="116"/>
      <c r="M439" s="117"/>
      <c r="N439" s="118">
        <f>IF(A439&gt;Dados!$C$16,0,IF(A439=Dados!$C$16,1,SUMIF($A$3:$A$500,CONCATENATE("&gt;",TEXT(DATEVALUE(TEXT(A439,"dd/mm/aaaa")),0)),$M$3:$M$500)-SUMIF($A$3:$A$500,CONCATENATE("&gt;",TEXT(Dados!$C$16-1,0)),$M$3:$M$500)+1%))</f>
        <v>0</v>
      </c>
      <c r="O439" s="119"/>
      <c r="P439" s="120">
        <f t="shared" si="91"/>
        <v>0</v>
      </c>
      <c r="Q439" s="119"/>
      <c r="R439" s="120">
        <f t="shared" si="92"/>
        <v>0</v>
      </c>
      <c r="S439" s="119"/>
      <c r="T439" s="120">
        <f t="shared" si="93"/>
        <v>0</v>
      </c>
      <c r="AG439" s="121">
        <f t="shared" si="97"/>
      </c>
      <c r="AH439" s="121">
        <f t="shared" si="98"/>
      </c>
      <c r="AI439" s="121">
        <f t="shared" si="99"/>
      </c>
      <c r="AJ439" s="121">
        <f t="shared" si="100"/>
      </c>
      <c r="AK439" s="121">
        <f t="shared" si="101"/>
      </c>
    </row>
    <row r="440" spans="1:37" ht="15">
      <c r="A440" s="113">
        <v>47818</v>
      </c>
      <c r="B440" s="113" t="e">
        <f t="shared" si="102"/>
        <v>#N/A</v>
      </c>
      <c r="C440" s="108" t="e">
        <f t="shared" si="90"/>
        <v>#N/A</v>
      </c>
      <c r="D440" s="114">
        <f t="shared" si="94"/>
        <v>0</v>
      </c>
      <c r="E440" s="114" t="e">
        <f t="shared" si="103"/>
        <v>#N/A</v>
      </c>
      <c r="F440" s="108" t="e">
        <f t="shared" si="95"/>
        <v>#N/A</v>
      </c>
      <c r="G440" s="114">
        <f t="shared" si="96"/>
        <v>0</v>
      </c>
      <c r="H440" s="110">
        <v>440</v>
      </c>
      <c r="I440" s="115"/>
      <c r="J440" s="116"/>
      <c r="K440" s="115"/>
      <c r="L440" s="116"/>
      <c r="M440" s="117"/>
      <c r="N440" s="118">
        <f>IF(A440&gt;Dados!$C$16,0,IF(A440=Dados!$C$16,1,SUMIF($A$3:$A$500,CONCATENATE("&gt;",TEXT(DATEVALUE(TEXT(A440,"dd/mm/aaaa")),0)),$M$3:$M$500)-SUMIF($A$3:$A$500,CONCATENATE("&gt;",TEXT(Dados!$C$16-1,0)),$M$3:$M$500)+1%))</f>
        <v>0</v>
      </c>
      <c r="O440" s="119"/>
      <c r="P440" s="120">
        <f t="shared" si="91"/>
        <v>0</v>
      </c>
      <c r="Q440" s="119"/>
      <c r="R440" s="120">
        <f t="shared" si="92"/>
        <v>0</v>
      </c>
      <c r="S440" s="119"/>
      <c r="T440" s="120">
        <f t="shared" si="93"/>
        <v>0</v>
      </c>
      <c r="AG440" s="121">
        <f t="shared" si="97"/>
      </c>
      <c r="AH440" s="121">
        <f t="shared" si="98"/>
      </c>
      <c r="AI440" s="121">
        <f t="shared" si="99"/>
      </c>
      <c r="AJ440" s="121">
        <f t="shared" si="100"/>
      </c>
      <c r="AK440" s="121">
        <f t="shared" si="101"/>
      </c>
    </row>
    <row r="441" spans="1:37" ht="15">
      <c r="A441" s="113">
        <v>47849</v>
      </c>
      <c r="B441" s="113" t="e">
        <f t="shared" si="102"/>
        <v>#N/A</v>
      </c>
      <c r="C441" s="108" t="e">
        <f t="shared" si="90"/>
        <v>#N/A</v>
      </c>
      <c r="D441" s="114">
        <f t="shared" si="94"/>
        <v>0</v>
      </c>
      <c r="E441" s="114" t="e">
        <f t="shared" si="103"/>
        <v>#N/A</v>
      </c>
      <c r="F441" s="108" t="e">
        <f t="shared" si="95"/>
        <v>#N/A</v>
      </c>
      <c r="G441" s="114">
        <f t="shared" si="96"/>
        <v>0</v>
      </c>
      <c r="H441" s="110">
        <v>441</v>
      </c>
      <c r="I441" s="115"/>
      <c r="J441" s="116"/>
      <c r="K441" s="115"/>
      <c r="L441" s="116"/>
      <c r="M441" s="117"/>
      <c r="N441" s="118">
        <f>IF(A441&gt;Dados!$C$16,0,IF(A441=Dados!$C$16,1,SUMIF($A$3:$A$500,CONCATENATE("&gt;",TEXT(DATEVALUE(TEXT(A441,"dd/mm/aaaa")),0)),$M$3:$M$500)-SUMIF($A$3:$A$500,CONCATENATE("&gt;",TEXT(Dados!$C$16-1,0)),$M$3:$M$500)+1%))</f>
        <v>0</v>
      </c>
      <c r="O441" s="119"/>
      <c r="P441" s="120">
        <f t="shared" si="91"/>
        <v>0</v>
      </c>
      <c r="Q441" s="119"/>
      <c r="R441" s="120">
        <f t="shared" si="92"/>
        <v>0</v>
      </c>
      <c r="S441" s="119"/>
      <c r="T441" s="120">
        <f t="shared" si="93"/>
        <v>0</v>
      </c>
      <c r="AG441" s="121">
        <f t="shared" si="97"/>
      </c>
      <c r="AH441" s="121">
        <f t="shared" si="98"/>
      </c>
      <c r="AI441" s="121">
        <f t="shared" si="99"/>
      </c>
      <c r="AJ441" s="121">
        <f t="shared" si="100"/>
      </c>
      <c r="AK441" s="121">
        <f t="shared" si="101"/>
      </c>
    </row>
    <row r="442" spans="1:37" ht="15">
      <c r="A442" s="113">
        <v>47880</v>
      </c>
      <c r="B442" s="113" t="e">
        <f t="shared" si="102"/>
        <v>#N/A</v>
      </c>
      <c r="C442" s="108" t="e">
        <f t="shared" si="90"/>
        <v>#N/A</v>
      </c>
      <c r="D442" s="114">
        <f t="shared" si="94"/>
        <v>0</v>
      </c>
      <c r="E442" s="114" t="e">
        <f t="shared" si="103"/>
        <v>#N/A</v>
      </c>
      <c r="F442" s="108" t="e">
        <f t="shared" si="95"/>
        <v>#N/A</v>
      </c>
      <c r="G442" s="114">
        <f t="shared" si="96"/>
        <v>0</v>
      </c>
      <c r="H442" s="110">
        <v>442</v>
      </c>
      <c r="I442" s="115"/>
      <c r="J442" s="116"/>
      <c r="K442" s="115"/>
      <c r="L442" s="116"/>
      <c r="M442" s="117"/>
      <c r="N442" s="118">
        <f>IF(A442&gt;Dados!$C$16,0,IF(A442=Dados!$C$16,1,SUMIF($A$3:$A$500,CONCATENATE("&gt;",TEXT(DATEVALUE(TEXT(A442,"dd/mm/aaaa")),0)),$M$3:$M$500)-SUMIF($A$3:$A$500,CONCATENATE("&gt;",TEXT(Dados!$C$16-1,0)),$M$3:$M$500)+1%))</f>
        <v>0</v>
      </c>
      <c r="O442" s="119"/>
      <c r="P442" s="120">
        <f t="shared" si="91"/>
        <v>0</v>
      </c>
      <c r="Q442" s="119"/>
      <c r="R442" s="120">
        <f t="shared" si="92"/>
        <v>0</v>
      </c>
      <c r="S442" s="119"/>
      <c r="T442" s="120">
        <f t="shared" si="93"/>
        <v>0</v>
      </c>
      <c r="AG442" s="121">
        <f t="shared" si="97"/>
      </c>
      <c r="AH442" s="121">
        <f t="shared" si="98"/>
      </c>
      <c r="AI442" s="121">
        <f t="shared" si="99"/>
      </c>
      <c r="AJ442" s="121">
        <f t="shared" si="100"/>
      </c>
      <c r="AK442" s="121">
        <f t="shared" si="101"/>
      </c>
    </row>
    <row r="443" spans="1:37" ht="15">
      <c r="A443" s="113">
        <v>47908</v>
      </c>
      <c r="B443" s="113" t="e">
        <f t="shared" si="102"/>
        <v>#N/A</v>
      </c>
      <c r="C443" s="108" t="e">
        <f t="shared" si="90"/>
        <v>#N/A</v>
      </c>
      <c r="D443" s="114">
        <f t="shared" si="94"/>
        <v>0</v>
      </c>
      <c r="E443" s="114" t="e">
        <f t="shared" si="103"/>
        <v>#N/A</v>
      </c>
      <c r="F443" s="108" t="e">
        <f t="shared" si="95"/>
        <v>#N/A</v>
      </c>
      <c r="G443" s="114">
        <f t="shared" si="96"/>
        <v>0</v>
      </c>
      <c r="H443" s="110">
        <v>443</v>
      </c>
      <c r="I443" s="115"/>
      <c r="J443" s="116"/>
      <c r="K443" s="115"/>
      <c r="L443" s="116"/>
      <c r="M443" s="117"/>
      <c r="N443" s="118">
        <f>IF(A443&gt;Dados!$C$16,0,IF(A443=Dados!$C$16,1,SUMIF($A$3:$A$500,CONCATENATE("&gt;",TEXT(DATEVALUE(TEXT(A443,"dd/mm/aaaa")),0)),$M$3:$M$500)-SUMIF($A$3:$A$500,CONCATENATE("&gt;",TEXT(Dados!$C$16-1,0)),$M$3:$M$500)+1%))</f>
        <v>0</v>
      </c>
      <c r="O443" s="119"/>
      <c r="P443" s="120">
        <f t="shared" si="91"/>
        <v>0</v>
      </c>
      <c r="Q443" s="119"/>
      <c r="R443" s="120">
        <f t="shared" si="92"/>
        <v>0</v>
      </c>
      <c r="S443" s="119"/>
      <c r="T443" s="120">
        <f t="shared" si="93"/>
        <v>0</v>
      </c>
      <c r="AG443" s="121">
        <f t="shared" si="97"/>
      </c>
      <c r="AH443" s="121">
        <f t="shared" si="98"/>
      </c>
      <c r="AI443" s="121">
        <f t="shared" si="99"/>
      </c>
      <c r="AJ443" s="121">
        <f t="shared" si="100"/>
      </c>
      <c r="AK443" s="121">
        <f t="shared" si="101"/>
      </c>
    </row>
    <row r="444" spans="1:37" ht="15">
      <c r="A444" s="113">
        <v>47939</v>
      </c>
      <c r="B444" s="113" t="e">
        <f t="shared" si="102"/>
        <v>#N/A</v>
      </c>
      <c r="C444" s="108" t="e">
        <f t="shared" si="90"/>
        <v>#N/A</v>
      </c>
      <c r="D444" s="114">
        <f t="shared" si="94"/>
        <v>0</v>
      </c>
      <c r="E444" s="114" t="e">
        <f t="shared" si="103"/>
        <v>#N/A</v>
      </c>
      <c r="F444" s="108" t="e">
        <f t="shared" si="95"/>
        <v>#N/A</v>
      </c>
      <c r="G444" s="114">
        <f t="shared" si="96"/>
        <v>0</v>
      </c>
      <c r="H444" s="110">
        <v>444</v>
      </c>
      <c r="I444" s="115"/>
      <c r="J444" s="116"/>
      <c r="K444" s="115"/>
      <c r="L444" s="116"/>
      <c r="M444" s="117"/>
      <c r="N444" s="118">
        <f>IF(A444&gt;Dados!$C$16,0,IF(A444=Dados!$C$16,1,SUMIF($A$3:$A$500,CONCATENATE("&gt;",TEXT(DATEVALUE(TEXT(A444,"dd/mm/aaaa")),0)),$M$3:$M$500)-SUMIF($A$3:$A$500,CONCATENATE("&gt;",TEXT(Dados!$C$16-1,0)),$M$3:$M$500)+1%))</f>
        <v>0</v>
      </c>
      <c r="O444" s="119"/>
      <c r="P444" s="120">
        <f t="shared" si="91"/>
        <v>0</v>
      </c>
      <c r="Q444" s="119"/>
      <c r="R444" s="120">
        <f t="shared" si="92"/>
        <v>0</v>
      </c>
      <c r="S444" s="119"/>
      <c r="T444" s="120">
        <f t="shared" si="93"/>
        <v>0</v>
      </c>
      <c r="AG444" s="121">
        <f t="shared" si="97"/>
      </c>
      <c r="AH444" s="121">
        <f t="shared" si="98"/>
      </c>
      <c r="AI444" s="121">
        <f t="shared" si="99"/>
      </c>
      <c r="AJ444" s="121">
        <f t="shared" si="100"/>
      </c>
      <c r="AK444" s="121">
        <f t="shared" si="101"/>
      </c>
    </row>
    <row r="445" spans="1:37" ht="15">
      <c r="A445" s="113">
        <v>47969</v>
      </c>
      <c r="B445" s="113" t="e">
        <f t="shared" si="102"/>
        <v>#N/A</v>
      </c>
      <c r="C445" s="108" t="e">
        <f t="shared" si="90"/>
        <v>#N/A</v>
      </c>
      <c r="D445" s="114">
        <f t="shared" si="94"/>
        <v>0</v>
      </c>
      <c r="E445" s="114" t="e">
        <f t="shared" si="103"/>
        <v>#N/A</v>
      </c>
      <c r="F445" s="108" t="e">
        <f t="shared" si="95"/>
        <v>#N/A</v>
      </c>
      <c r="G445" s="114">
        <f t="shared" si="96"/>
        <v>0</v>
      </c>
      <c r="H445" s="110">
        <v>445</v>
      </c>
      <c r="I445" s="115"/>
      <c r="J445" s="116"/>
      <c r="K445" s="115"/>
      <c r="L445" s="116"/>
      <c r="M445" s="117"/>
      <c r="N445" s="118">
        <f>IF(A445&gt;Dados!$C$16,0,IF(A445=Dados!$C$16,1,SUMIF($A$3:$A$500,CONCATENATE("&gt;",TEXT(DATEVALUE(TEXT(A445,"dd/mm/aaaa")),0)),$M$3:$M$500)-SUMIF($A$3:$A$500,CONCATENATE("&gt;",TEXT(Dados!$C$16-1,0)),$M$3:$M$500)+1%))</f>
        <v>0</v>
      </c>
      <c r="O445" s="119"/>
      <c r="P445" s="120">
        <f t="shared" si="91"/>
        <v>0</v>
      </c>
      <c r="Q445" s="119"/>
      <c r="R445" s="120">
        <f t="shared" si="92"/>
        <v>0</v>
      </c>
      <c r="S445" s="119"/>
      <c r="T445" s="120">
        <f t="shared" si="93"/>
        <v>0</v>
      </c>
      <c r="AG445" s="121">
        <f t="shared" si="97"/>
      </c>
      <c r="AH445" s="121">
        <f t="shared" si="98"/>
      </c>
      <c r="AI445" s="121">
        <f t="shared" si="99"/>
      </c>
      <c r="AJ445" s="121">
        <f t="shared" si="100"/>
      </c>
      <c r="AK445" s="121">
        <f t="shared" si="101"/>
      </c>
    </row>
    <row r="446" spans="1:37" ht="15">
      <c r="A446" s="113">
        <v>48000</v>
      </c>
      <c r="B446" s="113" t="e">
        <f t="shared" si="102"/>
        <v>#N/A</v>
      </c>
      <c r="C446" s="108" t="e">
        <f t="shared" si="90"/>
        <v>#N/A</v>
      </c>
      <c r="D446" s="114">
        <f t="shared" si="94"/>
        <v>0</v>
      </c>
      <c r="E446" s="114" t="e">
        <f t="shared" si="103"/>
        <v>#N/A</v>
      </c>
      <c r="F446" s="108" t="e">
        <f t="shared" si="95"/>
        <v>#N/A</v>
      </c>
      <c r="G446" s="114">
        <f t="shared" si="96"/>
        <v>0</v>
      </c>
      <c r="H446" s="110">
        <v>446</v>
      </c>
      <c r="I446" s="115"/>
      <c r="J446" s="116"/>
      <c r="K446" s="115"/>
      <c r="L446" s="116"/>
      <c r="M446" s="117"/>
      <c r="N446" s="118">
        <f>IF(A446&gt;Dados!$C$16,0,IF(A446=Dados!$C$16,1,SUMIF($A$3:$A$500,CONCATENATE("&gt;",TEXT(DATEVALUE(TEXT(A446,"dd/mm/aaaa")),0)),$M$3:$M$500)-SUMIF($A$3:$A$500,CONCATENATE("&gt;",TEXT(Dados!$C$16-1,0)),$M$3:$M$500)+1%))</f>
        <v>0</v>
      </c>
      <c r="O446" s="119"/>
      <c r="P446" s="120">
        <f t="shared" si="91"/>
        <v>0</v>
      </c>
      <c r="Q446" s="119"/>
      <c r="R446" s="120">
        <f t="shared" si="92"/>
        <v>0</v>
      </c>
      <c r="S446" s="119"/>
      <c r="T446" s="120">
        <f t="shared" si="93"/>
        <v>0</v>
      </c>
      <c r="AG446" s="121">
        <f t="shared" si="97"/>
      </c>
      <c r="AH446" s="121">
        <f t="shared" si="98"/>
      </c>
      <c r="AI446" s="121">
        <f t="shared" si="99"/>
      </c>
      <c r="AJ446" s="121">
        <f t="shared" si="100"/>
      </c>
      <c r="AK446" s="121">
        <f t="shared" si="101"/>
      </c>
    </row>
    <row r="447" spans="1:37" ht="15">
      <c r="A447" s="113">
        <v>48030</v>
      </c>
      <c r="B447" s="113" t="e">
        <f t="shared" si="102"/>
        <v>#N/A</v>
      </c>
      <c r="C447" s="108" t="e">
        <f t="shared" si="90"/>
        <v>#N/A</v>
      </c>
      <c r="D447" s="114">
        <f t="shared" si="94"/>
        <v>0</v>
      </c>
      <c r="E447" s="114" t="e">
        <f t="shared" si="103"/>
        <v>#N/A</v>
      </c>
      <c r="F447" s="108" t="e">
        <f t="shared" si="95"/>
        <v>#N/A</v>
      </c>
      <c r="G447" s="114">
        <f t="shared" si="96"/>
        <v>0</v>
      </c>
      <c r="H447" s="110">
        <v>447</v>
      </c>
      <c r="I447" s="115"/>
      <c r="J447" s="116"/>
      <c r="K447" s="115"/>
      <c r="L447" s="116"/>
      <c r="M447" s="117"/>
      <c r="N447" s="118">
        <f>IF(A447&gt;Dados!$C$16,0,IF(A447=Dados!$C$16,1,SUMIF($A$3:$A$500,CONCATENATE("&gt;",TEXT(DATEVALUE(TEXT(A447,"dd/mm/aaaa")),0)),$M$3:$M$500)-SUMIF($A$3:$A$500,CONCATENATE("&gt;",TEXT(Dados!$C$16-1,0)),$M$3:$M$500)+1%))</f>
        <v>0</v>
      </c>
      <c r="O447" s="119"/>
      <c r="P447" s="120">
        <f t="shared" si="91"/>
        <v>0</v>
      </c>
      <c r="Q447" s="119"/>
      <c r="R447" s="120">
        <f t="shared" si="92"/>
        <v>0</v>
      </c>
      <c r="S447" s="119"/>
      <c r="T447" s="120">
        <f t="shared" si="93"/>
        <v>0</v>
      </c>
      <c r="AG447" s="121">
        <f t="shared" si="97"/>
      </c>
      <c r="AH447" s="121">
        <f t="shared" si="98"/>
      </c>
      <c r="AI447" s="121">
        <f t="shared" si="99"/>
      </c>
      <c r="AJ447" s="121">
        <f t="shared" si="100"/>
      </c>
      <c r="AK447" s="121">
        <f t="shared" si="101"/>
      </c>
    </row>
    <row r="448" spans="1:37" ht="15">
      <c r="A448" s="113">
        <v>48061</v>
      </c>
      <c r="B448" s="113" t="e">
        <f t="shared" si="102"/>
        <v>#N/A</v>
      </c>
      <c r="C448" s="108" t="e">
        <f t="shared" si="90"/>
        <v>#N/A</v>
      </c>
      <c r="D448" s="114">
        <f t="shared" si="94"/>
        <v>0</v>
      </c>
      <c r="E448" s="114" t="e">
        <f t="shared" si="103"/>
        <v>#N/A</v>
      </c>
      <c r="F448" s="108" t="e">
        <f t="shared" si="95"/>
        <v>#N/A</v>
      </c>
      <c r="G448" s="114">
        <f t="shared" si="96"/>
        <v>0</v>
      </c>
      <c r="H448" s="110">
        <v>448</v>
      </c>
      <c r="I448" s="115"/>
      <c r="J448" s="116"/>
      <c r="K448" s="115"/>
      <c r="L448" s="116"/>
      <c r="M448" s="117"/>
      <c r="N448" s="118">
        <f>IF(A448&gt;Dados!$C$16,0,IF(A448=Dados!$C$16,1,SUMIF($A$3:$A$500,CONCATENATE("&gt;",TEXT(DATEVALUE(TEXT(A448,"dd/mm/aaaa")),0)),$M$3:$M$500)-SUMIF($A$3:$A$500,CONCATENATE("&gt;",TEXT(Dados!$C$16-1,0)),$M$3:$M$500)+1%))</f>
        <v>0</v>
      </c>
      <c r="O448" s="119"/>
      <c r="P448" s="120">
        <f t="shared" si="91"/>
        <v>0</v>
      </c>
      <c r="Q448" s="119"/>
      <c r="R448" s="120">
        <f t="shared" si="92"/>
        <v>0</v>
      </c>
      <c r="S448" s="119"/>
      <c r="T448" s="120">
        <f t="shared" si="93"/>
        <v>0</v>
      </c>
      <c r="AG448" s="121">
        <f t="shared" si="97"/>
      </c>
      <c r="AH448" s="121">
        <f t="shared" si="98"/>
      </c>
      <c r="AI448" s="121">
        <f t="shared" si="99"/>
      </c>
      <c r="AJ448" s="121">
        <f t="shared" si="100"/>
      </c>
      <c r="AK448" s="121">
        <f t="shared" si="101"/>
      </c>
    </row>
    <row r="449" spans="1:37" ht="15">
      <c r="A449" s="113">
        <v>48092</v>
      </c>
      <c r="B449" s="113" t="e">
        <f t="shared" si="102"/>
        <v>#N/A</v>
      </c>
      <c r="C449" s="108" t="e">
        <f t="shared" si="90"/>
        <v>#N/A</v>
      </c>
      <c r="D449" s="114">
        <f t="shared" si="94"/>
        <v>0</v>
      </c>
      <c r="E449" s="114" t="e">
        <f t="shared" si="103"/>
        <v>#N/A</v>
      </c>
      <c r="F449" s="108" t="e">
        <f t="shared" si="95"/>
        <v>#N/A</v>
      </c>
      <c r="G449" s="114">
        <f t="shared" si="96"/>
        <v>0</v>
      </c>
      <c r="H449" s="110">
        <v>449</v>
      </c>
      <c r="I449" s="115"/>
      <c r="J449" s="116"/>
      <c r="K449" s="115"/>
      <c r="L449" s="116"/>
      <c r="M449" s="117"/>
      <c r="N449" s="118">
        <f>IF(A449&gt;Dados!$C$16,0,IF(A449=Dados!$C$16,1,SUMIF($A$3:$A$500,CONCATENATE("&gt;",TEXT(DATEVALUE(TEXT(A449,"dd/mm/aaaa")),0)),$M$3:$M$500)-SUMIF($A$3:$A$500,CONCATENATE("&gt;",TEXT(Dados!$C$16-1,0)),$M$3:$M$500)+1%))</f>
        <v>0</v>
      </c>
      <c r="O449" s="119"/>
      <c r="P449" s="120">
        <f t="shared" si="91"/>
        <v>0</v>
      </c>
      <c r="Q449" s="119"/>
      <c r="R449" s="120">
        <f t="shared" si="92"/>
        <v>0</v>
      </c>
      <c r="S449" s="119"/>
      <c r="T449" s="120">
        <f t="shared" si="93"/>
        <v>0</v>
      </c>
      <c r="AG449" s="121">
        <f t="shared" si="97"/>
      </c>
      <c r="AH449" s="121">
        <f t="shared" si="98"/>
      </c>
      <c r="AI449" s="121">
        <f t="shared" si="99"/>
      </c>
      <c r="AJ449" s="121">
        <f t="shared" si="100"/>
      </c>
      <c r="AK449" s="121">
        <f t="shared" si="101"/>
      </c>
    </row>
    <row r="450" spans="1:37" ht="15">
      <c r="A450" s="113">
        <v>48122</v>
      </c>
      <c r="B450" s="113" t="e">
        <f t="shared" si="102"/>
        <v>#N/A</v>
      </c>
      <c r="C450" s="108" t="e">
        <f t="shared" si="90"/>
        <v>#N/A</v>
      </c>
      <c r="D450" s="114">
        <f t="shared" si="94"/>
        <v>0</v>
      </c>
      <c r="E450" s="114" t="e">
        <f t="shared" si="103"/>
        <v>#N/A</v>
      </c>
      <c r="F450" s="108" t="e">
        <f t="shared" si="95"/>
        <v>#N/A</v>
      </c>
      <c r="G450" s="114">
        <f t="shared" si="96"/>
        <v>0</v>
      </c>
      <c r="H450" s="110">
        <v>450</v>
      </c>
      <c r="I450" s="115"/>
      <c r="J450" s="116"/>
      <c r="K450" s="115"/>
      <c r="L450" s="116"/>
      <c r="M450" s="117"/>
      <c r="N450" s="118">
        <f>IF(A450&gt;Dados!$C$16,0,IF(A450=Dados!$C$16,1,SUMIF($A$3:$A$500,CONCATENATE("&gt;",TEXT(DATEVALUE(TEXT(A450,"dd/mm/aaaa")),0)),$M$3:$M$500)-SUMIF($A$3:$A$500,CONCATENATE("&gt;",TEXT(Dados!$C$16-1,0)),$M$3:$M$500)+1%))</f>
        <v>0</v>
      </c>
      <c r="O450" s="119"/>
      <c r="P450" s="120">
        <f t="shared" si="91"/>
        <v>0</v>
      </c>
      <c r="Q450" s="119"/>
      <c r="R450" s="120">
        <f t="shared" si="92"/>
        <v>0</v>
      </c>
      <c r="S450" s="119"/>
      <c r="T450" s="120">
        <f t="shared" si="93"/>
        <v>0</v>
      </c>
      <c r="AG450" s="121">
        <f t="shared" si="97"/>
      </c>
      <c r="AH450" s="121">
        <f t="shared" si="98"/>
      </c>
      <c r="AI450" s="121">
        <f t="shared" si="99"/>
      </c>
      <c r="AJ450" s="121">
        <f t="shared" si="100"/>
      </c>
      <c r="AK450" s="121">
        <f t="shared" si="101"/>
      </c>
    </row>
    <row r="451" spans="1:37" ht="15">
      <c r="A451" s="113">
        <v>48153</v>
      </c>
      <c r="B451" s="113" t="e">
        <f t="shared" si="102"/>
        <v>#N/A</v>
      </c>
      <c r="C451" s="108" t="e">
        <f aca="true" t="shared" si="104" ref="C451:C500">IF(B451="IPCA-E",I451,IF(B451="INPC",J451,IF(B451="TR",K451,IF(B451="IGP-DI",L451,0))))</f>
        <v>#N/A</v>
      </c>
      <c r="D451" s="114">
        <f t="shared" si="94"/>
        <v>0</v>
      </c>
      <c r="E451" s="114" t="e">
        <f t="shared" si="103"/>
        <v>#N/A</v>
      </c>
      <c r="F451" s="108" t="e">
        <f t="shared" si="95"/>
        <v>#N/A</v>
      </c>
      <c r="G451" s="114">
        <f t="shared" si="96"/>
        <v>0</v>
      </c>
      <c r="H451" s="110">
        <v>451</v>
      </c>
      <c r="I451" s="115"/>
      <c r="J451" s="116"/>
      <c r="K451" s="115"/>
      <c r="L451" s="116"/>
      <c r="M451" s="117"/>
      <c r="N451" s="118">
        <f>IF(A451&gt;Dados!$C$16,0,IF(A451=Dados!$C$16,1,SUMIF($A$3:$A$500,CONCATENATE("&gt;",TEXT(DATEVALUE(TEXT(A451,"dd/mm/aaaa")),0)),$M$3:$M$500)-SUMIF($A$3:$A$500,CONCATENATE("&gt;",TEXT(Dados!$C$16-1,0)),$M$3:$M$500)+1%))</f>
        <v>0</v>
      </c>
      <c r="O451" s="119"/>
      <c r="P451" s="120">
        <f aca="true" t="shared" si="105" ref="P451:P500">O452+P452</f>
        <v>0</v>
      </c>
      <c r="Q451" s="119"/>
      <c r="R451" s="120">
        <f aca="true" t="shared" si="106" ref="R451:R500">Q452+R452</f>
        <v>0</v>
      </c>
      <c r="S451" s="119"/>
      <c r="T451" s="120">
        <f aca="true" t="shared" si="107" ref="T451:T500">S452+T452</f>
        <v>0</v>
      </c>
      <c r="AG451" s="121">
        <f t="shared" si="97"/>
      </c>
      <c r="AH451" s="121">
        <f t="shared" si="98"/>
      </c>
      <c r="AI451" s="121">
        <f t="shared" si="99"/>
      </c>
      <c r="AJ451" s="121">
        <f t="shared" si="100"/>
      </c>
      <c r="AK451" s="121">
        <f t="shared" si="101"/>
      </c>
    </row>
    <row r="452" spans="1:37" ht="15">
      <c r="A452" s="113">
        <v>48183</v>
      </c>
      <c r="B452" s="113" t="e">
        <f t="shared" si="102"/>
        <v>#N/A</v>
      </c>
      <c r="C452" s="108" t="e">
        <f t="shared" si="104"/>
        <v>#N/A</v>
      </c>
      <c r="D452" s="114">
        <f aca="true" t="shared" si="108" ref="D452:D500">IF(A452&gt;$D$2,0,IF(A452=$D$2,1,D453*(1+C452)))</f>
        <v>0</v>
      </c>
      <c r="E452" s="114" t="e">
        <f t="shared" si="103"/>
        <v>#N/A</v>
      </c>
      <c r="F452" s="108" t="e">
        <f aca="true" t="shared" si="109" ref="F452:F500">IF(E452="IPCA-E",I452,IF(E452="INPC",J452,IF(E452="TR",K452,IF(E452="IGP-DI",L452,IF(E452="SELIC",M452,N452)))))</f>
        <v>#N/A</v>
      </c>
      <c r="G452" s="114">
        <f aca="true" t="shared" si="110" ref="G452:G500">IF(A452&gt;$G$2,0,IF(A452=$G$2,1,G453*(1+F452)))</f>
        <v>0</v>
      </c>
      <c r="H452" s="110">
        <v>452</v>
      </c>
      <c r="I452" s="115"/>
      <c r="J452" s="116"/>
      <c r="K452" s="115"/>
      <c r="L452" s="116"/>
      <c r="M452" s="117"/>
      <c r="N452" s="118">
        <f>IF(A452&gt;Dados!$C$16,0,IF(A452=Dados!$C$16,1,SUMIF($A$3:$A$500,CONCATENATE("&gt;",TEXT(DATEVALUE(TEXT(A452,"dd/mm/aaaa")),0)),$M$3:$M$500)-SUMIF($A$3:$A$500,CONCATENATE("&gt;",TEXT(Dados!$C$16-1,0)),$M$3:$M$500)+1%))</f>
        <v>0</v>
      </c>
      <c r="O452" s="119"/>
      <c r="P452" s="120">
        <f t="shared" si="105"/>
        <v>0</v>
      </c>
      <c r="Q452" s="119"/>
      <c r="R452" s="120">
        <f t="shared" si="106"/>
        <v>0</v>
      </c>
      <c r="S452" s="119"/>
      <c r="T452" s="120">
        <f t="shared" si="107"/>
        <v>0</v>
      </c>
      <c r="AG452" s="121">
        <f aca="true" t="shared" si="111" ref="AG452:AG500">IF(OR(L452&lt;&gt;0,AD452=1),$A452,"")</f>
      </c>
      <c r="AH452" s="121">
        <f aca="true" t="shared" si="112" ref="AH452:AH500">IF(OR(J452&lt;&gt;0,AB452=1),$A452,"")</f>
      </c>
      <c r="AI452" s="121">
        <f aca="true" t="shared" si="113" ref="AI452:AI500">IF(OR(I452&lt;&gt;0,AA452=1),$A452,"")</f>
      </c>
      <c r="AJ452" s="121">
        <f aca="true" t="shared" si="114" ref="AJ452:AJ500">IF(OR(M452&lt;&gt;0,AE452=1),$A452,"")</f>
      </c>
      <c r="AK452" s="121">
        <f aca="true" t="shared" si="115" ref="AK452:AK500">IF(OR(K452&lt;&gt;0,AC452=1),$A452,"")</f>
      </c>
    </row>
    <row r="453" spans="1:37" ht="15">
      <c r="A453" s="113">
        <v>48214</v>
      </c>
      <c r="B453" s="113" t="e">
        <f t="shared" si="102"/>
        <v>#N/A</v>
      </c>
      <c r="C453" s="108" t="e">
        <f t="shared" si="104"/>
        <v>#N/A</v>
      </c>
      <c r="D453" s="114">
        <f t="shared" si="108"/>
        <v>0</v>
      </c>
      <c r="E453" s="114" t="e">
        <f t="shared" si="103"/>
        <v>#N/A</v>
      </c>
      <c r="F453" s="108" t="e">
        <f t="shared" si="109"/>
        <v>#N/A</v>
      </c>
      <c r="G453" s="114">
        <f t="shared" si="110"/>
        <v>0</v>
      </c>
      <c r="H453" s="110">
        <v>453</v>
      </c>
      <c r="I453" s="115"/>
      <c r="J453" s="116"/>
      <c r="K453" s="115"/>
      <c r="L453" s="116"/>
      <c r="M453" s="117"/>
      <c r="N453" s="118">
        <f>IF(A453&gt;Dados!$C$16,0,IF(A453=Dados!$C$16,1,SUMIF($A$3:$A$500,CONCATENATE("&gt;",TEXT(DATEVALUE(TEXT(A453,"dd/mm/aaaa")),0)),$M$3:$M$500)-SUMIF($A$3:$A$500,CONCATENATE("&gt;",TEXT(Dados!$C$16-1,0)),$M$3:$M$500)+1%))</f>
        <v>0</v>
      </c>
      <c r="O453" s="119"/>
      <c r="P453" s="120">
        <f t="shared" si="105"/>
        <v>0</v>
      </c>
      <c r="Q453" s="119"/>
      <c r="R453" s="120">
        <f t="shared" si="106"/>
        <v>0</v>
      </c>
      <c r="S453" s="119"/>
      <c r="T453" s="120">
        <f t="shared" si="107"/>
        <v>0</v>
      </c>
      <c r="AG453" s="121">
        <f t="shared" si="111"/>
      </c>
      <c r="AH453" s="121">
        <f t="shared" si="112"/>
      </c>
      <c r="AI453" s="121">
        <f t="shared" si="113"/>
      </c>
      <c r="AJ453" s="121">
        <f t="shared" si="114"/>
      </c>
      <c r="AK453" s="121">
        <f t="shared" si="115"/>
      </c>
    </row>
    <row r="454" spans="1:37" ht="15">
      <c r="A454" s="113">
        <v>48245</v>
      </c>
      <c r="B454" s="113" t="e">
        <f t="shared" si="102"/>
        <v>#N/A</v>
      </c>
      <c r="C454" s="108" t="e">
        <f t="shared" si="104"/>
        <v>#N/A</v>
      </c>
      <c r="D454" s="114">
        <f t="shared" si="108"/>
        <v>0</v>
      </c>
      <c r="E454" s="114" t="e">
        <f t="shared" si="103"/>
        <v>#N/A</v>
      </c>
      <c r="F454" s="108" t="e">
        <f t="shared" si="109"/>
        <v>#N/A</v>
      </c>
      <c r="G454" s="114">
        <f t="shared" si="110"/>
        <v>0</v>
      </c>
      <c r="H454" s="110">
        <v>454</v>
      </c>
      <c r="I454" s="115"/>
      <c r="J454" s="116"/>
      <c r="K454" s="115"/>
      <c r="L454" s="116"/>
      <c r="M454" s="117"/>
      <c r="N454" s="118">
        <f>IF(A454&gt;Dados!$C$16,0,IF(A454=Dados!$C$16,1,SUMIF($A$3:$A$500,CONCATENATE("&gt;",TEXT(DATEVALUE(TEXT(A454,"dd/mm/aaaa")),0)),$M$3:$M$500)-SUMIF($A$3:$A$500,CONCATENATE("&gt;",TEXT(Dados!$C$16-1,0)),$M$3:$M$500)+1%))</f>
        <v>0</v>
      </c>
      <c r="O454" s="119"/>
      <c r="P454" s="120">
        <f t="shared" si="105"/>
        <v>0</v>
      </c>
      <c r="Q454" s="119"/>
      <c r="R454" s="120">
        <f t="shared" si="106"/>
        <v>0</v>
      </c>
      <c r="S454" s="119"/>
      <c r="T454" s="120">
        <f t="shared" si="107"/>
        <v>0</v>
      </c>
      <c r="AG454" s="121">
        <f t="shared" si="111"/>
      </c>
      <c r="AH454" s="121">
        <f t="shared" si="112"/>
      </c>
      <c r="AI454" s="121">
        <f t="shared" si="113"/>
      </c>
      <c r="AJ454" s="121">
        <f t="shared" si="114"/>
      </c>
      <c r="AK454" s="121">
        <f t="shared" si="115"/>
      </c>
    </row>
    <row r="455" spans="1:37" ht="15">
      <c r="A455" s="113">
        <v>48274</v>
      </c>
      <c r="B455" s="113" t="e">
        <f t="shared" si="102"/>
        <v>#N/A</v>
      </c>
      <c r="C455" s="108" t="e">
        <f t="shared" si="104"/>
        <v>#N/A</v>
      </c>
      <c r="D455" s="114">
        <f t="shared" si="108"/>
        <v>0</v>
      </c>
      <c r="E455" s="114" t="e">
        <f t="shared" si="103"/>
        <v>#N/A</v>
      </c>
      <c r="F455" s="108" t="e">
        <f t="shared" si="109"/>
        <v>#N/A</v>
      </c>
      <c r="G455" s="114">
        <f t="shared" si="110"/>
        <v>0</v>
      </c>
      <c r="H455" s="110">
        <v>455</v>
      </c>
      <c r="I455" s="115"/>
      <c r="J455" s="116"/>
      <c r="K455" s="115"/>
      <c r="L455" s="116"/>
      <c r="M455" s="117"/>
      <c r="N455" s="118">
        <f>IF(A455&gt;Dados!$C$16,0,IF(A455=Dados!$C$16,1,SUMIF($A$3:$A$500,CONCATENATE("&gt;",TEXT(DATEVALUE(TEXT(A455,"dd/mm/aaaa")),0)),$M$3:$M$500)-SUMIF($A$3:$A$500,CONCATENATE("&gt;",TEXT(Dados!$C$16-1,0)),$M$3:$M$500)+1%))</f>
        <v>0</v>
      </c>
      <c r="O455" s="119"/>
      <c r="P455" s="120">
        <f t="shared" si="105"/>
        <v>0</v>
      </c>
      <c r="Q455" s="119"/>
      <c r="R455" s="120">
        <f t="shared" si="106"/>
        <v>0</v>
      </c>
      <c r="S455" s="119"/>
      <c r="T455" s="120">
        <f t="shared" si="107"/>
        <v>0</v>
      </c>
      <c r="AG455" s="121">
        <f t="shared" si="111"/>
      </c>
      <c r="AH455" s="121">
        <f t="shared" si="112"/>
      </c>
      <c r="AI455" s="121">
        <f t="shared" si="113"/>
      </c>
      <c r="AJ455" s="121">
        <f t="shared" si="114"/>
      </c>
      <c r="AK455" s="121">
        <f t="shared" si="115"/>
      </c>
    </row>
    <row r="456" spans="1:37" ht="15">
      <c r="A456" s="113">
        <v>48305</v>
      </c>
      <c r="B456" s="113" t="e">
        <f t="shared" si="102"/>
        <v>#N/A</v>
      </c>
      <c r="C456" s="108" t="e">
        <f t="shared" si="104"/>
        <v>#N/A</v>
      </c>
      <c r="D456" s="114">
        <f t="shared" si="108"/>
        <v>0</v>
      </c>
      <c r="E456" s="114" t="e">
        <f t="shared" si="103"/>
        <v>#N/A</v>
      </c>
      <c r="F456" s="108" t="e">
        <f t="shared" si="109"/>
        <v>#N/A</v>
      </c>
      <c r="G456" s="114">
        <f t="shared" si="110"/>
        <v>0</v>
      </c>
      <c r="H456" s="110">
        <v>456</v>
      </c>
      <c r="I456" s="115"/>
      <c r="J456" s="116"/>
      <c r="K456" s="115"/>
      <c r="L456" s="116"/>
      <c r="M456" s="117"/>
      <c r="N456" s="118">
        <f>IF(A456&gt;Dados!$C$16,0,IF(A456=Dados!$C$16,1,SUMIF($A$3:$A$500,CONCATENATE("&gt;",TEXT(DATEVALUE(TEXT(A456,"dd/mm/aaaa")),0)),$M$3:$M$500)-SUMIF($A$3:$A$500,CONCATENATE("&gt;",TEXT(Dados!$C$16-1,0)),$M$3:$M$500)+1%))</f>
        <v>0</v>
      </c>
      <c r="O456" s="119"/>
      <c r="P456" s="120">
        <f t="shared" si="105"/>
        <v>0</v>
      </c>
      <c r="Q456" s="119"/>
      <c r="R456" s="120">
        <f t="shared" si="106"/>
        <v>0</v>
      </c>
      <c r="S456" s="119"/>
      <c r="T456" s="120">
        <f t="shared" si="107"/>
        <v>0</v>
      </c>
      <c r="AG456" s="121">
        <f t="shared" si="111"/>
      </c>
      <c r="AH456" s="121">
        <f t="shared" si="112"/>
      </c>
      <c r="AI456" s="121">
        <f t="shared" si="113"/>
      </c>
      <c r="AJ456" s="121">
        <f t="shared" si="114"/>
      </c>
      <c r="AK456" s="121">
        <f t="shared" si="115"/>
      </c>
    </row>
    <row r="457" spans="1:37" ht="15">
      <c r="A457" s="113">
        <v>48335</v>
      </c>
      <c r="B457" s="113" t="e">
        <f t="shared" si="102"/>
        <v>#N/A</v>
      </c>
      <c r="C457" s="108" t="e">
        <f t="shared" si="104"/>
        <v>#N/A</v>
      </c>
      <c r="D457" s="114">
        <f t="shared" si="108"/>
        <v>0</v>
      </c>
      <c r="E457" s="114" t="e">
        <f t="shared" si="103"/>
        <v>#N/A</v>
      </c>
      <c r="F457" s="108" t="e">
        <f t="shared" si="109"/>
        <v>#N/A</v>
      </c>
      <c r="G457" s="114">
        <f t="shared" si="110"/>
        <v>0</v>
      </c>
      <c r="H457" s="110">
        <v>457</v>
      </c>
      <c r="I457" s="115"/>
      <c r="J457" s="116"/>
      <c r="K457" s="115"/>
      <c r="L457" s="116"/>
      <c r="M457" s="117"/>
      <c r="N457" s="118">
        <f>IF(A457&gt;Dados!$C$16,0,IF(A457=Dados!$C$16,1,SUMIF($A$3:$A$500,CONCATENATE("&gt;",TEXT(DATEVALUE(TEXT(A457,"dd/mm/aaaa")),0)),$M$3:$M$500)-SUMIF($A$3:$A$500,CONCATENATE("&gt;",TEXT(Dados!$C$16-1,0)),$M$3:$M$500)+1%))</f>
        <v>0</v>
      </c>
      <c r="O457" s="119"/>
      <c r="P457" s="120">
        <f t="shared" si="105"/>
        <v>0</v>
      </c>
      <c r="Q457" s="119"/>
      <c r="R457" s="120">
        <f t="shared" si="106"/>
        <v>0</v>
      </c>
      <c r="S457" s="119"/>
      <c r="T457" s="120">
        <f t="shared" si="107"/>
        <v>0</v>
      </c>
      <c r="AG457" s="121">
        <f t="shared" si="111"/>
      </c>
      <c r="AH457" s="121">
        <f t="shared" si="112"/>
      </c>
      <c r="AI457" s="121">
        <f t="shared" si="113"/>
      </c>
      <c r="AJ457" s="121">
        <f t="shared" si="114"/>
      </c>
      <c r="AK457" s="121">
        <f t="shared" si="115"/>
      </c>
    </row>
    <row r="458" spans="1:37" ht="15">
      <c r="A458" s="113">
        <v>48366</v>
      </c>
      <c r="B458" s="113" t="e">
        <f t="shared" si="102"/>
        <v>#N/A</v>
      </c>
      <c r="C458" s="108" t="e">
        <f t="shared" si="104"/>
        <v>#N/A</v>
      </c>
      <c r="D458" s="114">
        <f t="shared" si="108"/>
        <v>0</v>
      </c>
      <c r="E458" s="114" t="e">
        <f t="shared" si="103"/>
        <v>#N/A</v>
      </c>
      <c r="F458" s="108" t="e">
        <f t="shared" si="109"/>
        <v>#N/A</v>
      </c>
      <c r="G458" s="114">
        <f t="shared" si="110"/>
        <v>0</v>
      </c>
      <c r="H458" s="110">
        <v>458</v>
      </c>
      <c r="I458" s="115"/>
      <c r="J458" s="116"/>
      <c r="K458" s="115"/>
      <c r="L458" s="116"/>
      <c r="M458" s="117"/>
      <c r="N458" s="118">
        <f>IF(A458&gt;Dados!$C$16,0,IF(A458=Dados!$C$16,1,SUMIF($A$3:$A$500,CONCATENATE("&gt;",TEXT(DATEVALUE(TEXT(A458,"dd/mm/aaaa")),0)),$M$3:$M$500)-SUMIF($A$3:$A$500,CONCATENATE("&gt;",TEXT(Dados!$C$16-1,0)),$M$3:$M$500)+1%))</f>
        <v>0</v>
      </c>
      <c r="O458" s="119"/>
      <c r="P458" s="120">
        <f t="shared" si="105"/>
        <v>0</v>
      </c>
      <c r="Q458" s="119"/>
      <c r="R458" s="120">
        <f t="shared" si="106"/>
        <v>0</v>
      </c>
      <c r="S458" s="119"/>
      <c r="T458" s="120">
        <f t="shared" si="107"/>
        <v>0</v>
      </c>
      <c r="AG458" s="121">
        <f t="shared" si="111"/>
      </c>
      <c r="AH458" s="121">
        <f t="shared" si="112"/>
      </c>
      <c r="AI458" s="121">
        <f t="shared" si="113"/>
      </c>
      <c r="AJ458" s="121">
        <f t="shared" si="114"/>
      </c>
      <c r="AK458" s="121">
        <f t="shared" si="115"/>
      </c>
    </row>
    <row r="459" spans="1:37" ht="15">
      <c r="A459" s="113">
        <v>48396</v>
      </c>
      <c r="B459" s="113" t="e">
        <f t="shared" si="102"/>
        <v>#N/A</v>
      </c>
      <c r="C459" s="108" t="e">
        <f t="shared" si="104"/>
        <v>#N/A</v>
      </c>
      <c r="D459" s="114">
        <f t="shared" si="108"/>
        <v>0</v>
      </c>
      <c r="E459" s="114" t="e">
        <f t="shared" si="103"/>
        <v>#N/A</v>
      </c>
      <c r="F459" s="108" t="e">
        <f t="shared" si="109"/>
        <v>#N/A</v>
      </c>
      <c r="G459" s="114">
        <f t="shared" si="110"/>
        <v>0</v>
      </c>
      <c r="H459" s="110">
        <v>459</v>
      </c>
      <c r="I459" s="115"/>
      <c r="J459" s="116"/>
      <c r="K459" s="115"/>
      <c r="L459" s="116"/>
      <c r="M459" s="117"/>
      <c r="N459" s="118">
        <f>IF(A459&gt;Dados!$C$16,0,IF(A459=Dados!$C$16,1,SUMIF($A$3:$A$500,CONCATENATE("&gt;",TEXT(DATEVALUE(TEXT(A459,"dd/mm/aaaa")),0)),$M$3:$M$500)-SUMIF($A$3:$A$500,CONCATENATE("&gt;",TEXT(Dados!$C$16-1,0)),$M$3:$M$500)+1%))</f>
        <v>0</v>
      </c>
      <c r="O459" s="119"/>
      <c r="P459" s="120">
        <f t="shared" si="105"/>
        <v>0</v>
      </c>
      <c r="Q459" s="119"/>
      <c r="R459" s="120">
        <f t="shared" si="106"/>
        <v>0</v>
      </c>
      <c r="S459" s="119"/>
      <c r="T459" s="120">
        <f t="shared" si="107"/>
        <v>0</v>
      </c>
      <c r="AG459" s="121">
        <f t="shared" si="111"/>
      </c>
      <c r="AH459" s="121">
        <f t="shared" si="112"/>
      </c>
      <c r="AI459" s="121">
        <f t="shared" si="113"/>
      </c>
      <c r="AJ459" s="121">
        <f t="shared" si="114"/>
      </c>
      <c r="AK459" s="121">
        <f t="shared" si="115"/>
      </c>
    </row>
    <row r="460" spans="1:37" ht="15">
      <c r="A460" s="113">
        <v>48427</v>
      </c>
      <c r="B460" s="113" t="e">
        <f t="shared" si="102"/>
        <v>#N/A</v>
      </c>
      <c r="C460" s="108" t="e">
        <f t="shared" si="104"/>
        <v>#N/A</v>
      </c>
      <c r="D460" s="114">
        <f t="shared" si="108"/>
        <v>0</v>
      </c>
      <c r="E460" s="114" t="e">
        <f t="shared" si="103"/>
        <v>#N/A</v>
      </c>
      <c r="F460" s="108" t="e">
        <f t="shared" si="109"/>
        <v>#N/A</v>
      </c>
      <c r="G460" s="114">
        <f t="shared" si="110"/>
        <v>0</v>
      </c>
      <c r="H460" s="110">
        <v>460</v>
      </c>
      <c r="I460" s="115"/>
      <c r="J460" s="116"/>
      <c r="K460" s="115"/>
      <c r="L460" s="116"/>
      <c r="M460" s="117"/>
      <c r="N460" s="118">
        <f>IF(A460&gt;Dados!$C$16,0,IF(A460=Dados!$C$16,1,SUMIF($A$3:$A$500,CONCATENATE("&gt;",TEXT(DATEVALUE(TEXT(A460,"dd/mm/aaaa")),0)),$M$3:$M$500)-SUMIF($A$3:$A$500,CONCATENATE("&gt;",TEXT(Dados!$C$16-1,0)),$M$3:$M$500)+1%))</f>
        <v>0</v>
      </c>
      <c r="O460" s="119"/>
      <c r="P460" s="120">
        <f t="shared" si="105"/>
        <v>0</v>
      </c>
      <c r="Q460" s="119"/>
      <c r="R460" s="120">
        <f t="shared" si="106"/>
        <v>0</v>
      </c>
      <c r="S460" s="119"/>
      <c r="T460" s="120">
        <f t="shared" si="107"/>
        <v>0</v>
      </c>
      <c r="AG460" s="121">
        <f t="shared" si="111"/>
      </c>
      <c r="AH460" s="121">
        <f t="shared" si="112"/>
      </c>
      <c r="AI460" s="121">
        <f t="shared" si="113"/>
      </c>
      <c r="AJ460" s="121">
        <f t="shared" si="114"/>
      </c>
      <c r="AK460" s="121">
        <f t="shared" si="115"/>
      </c>
    </row>
    <row r="461" spans="1:37" ht="15">
      <c r="A461" s="113">
        <v>48458</v>
      </c>
      <c r="B461" s="113" t="e">
        <f t="shared" si="102"/>
        <v>#N/A</v>
      </c>
      <c r="C461" s="108" t="e">
        <f t="shared" si="104"/>
        <v>#N/A</v>
      </c>
      <c r="D461" s="114">
        <f t="shared" si="108"/>
        <v>0</v>
      </c>
      <c r="E461" s="114" t="e">
        <f t="shared" si="103"/>
        <v>#N/A</v>
      </c>
      <c r="F461" s="108" t="e">
        <f t="shared" si="109"/>
        <v>#N/A</v>
      </c>
      <c r="G461" s="114">
        <f t="shared" si="110"/>
        <v>0</v>
      </c>
      <c r="H461" s="110">
        <v>461</v>
      </c>
      <c r="I461" s="115"/>
      <c r="J461" s="116"/>
      <c r="K461" s="115"/>
      <c r="L461" s="116"/>
      <c r="M461" s="117"/>
      <c r="N461" s="118">
        <f>IF(A461&gt;Dados!$C$16,0,IF(A461=Dados!$C$16,1,SUMIF($A$3:$A$500,CONCATENATE("&gt;",TEXT(DATEVALUE(TEXT(A461,"dd/mm/aaaa")),0)),$M$3:$M$500)-SUMIF($A$3:$A$500,CONCATENATE("&gt;",TEXT(Dados!$C$16-1,0)),$M$3:$M$500)+1%))</f>
        <v>0</v>
      </c>
      <c r="O461" s="119"/>
      <c r="P461" s="120">
        <f t="shared" si="105"/>
        <v>0</v>
      </c>
      <c r="Q461" s="119"/>
      <c r="R461" s="120">
        <f t="shared" si="106"/>
        <v>0</v>
      </c>
      <c r="S461" s="119"/>
      <c r="T461" s="120">
        <f t="shared" si="107"/>
        <v>0</v>
      </c>
      <c r="AG461" s="121">
        <f t="shared" si="111"/>
      </c>
      <c r="AH461" s="121">
        <f t="shared" si="112"/>
      </c>
      <c r="AI461" s="121">
        <f t="shared" si="113"/>
      </c>
      <c r="AJ461" s="121">
        <f t="shared" si="114"/>
      </c>
      <c r="AK461" s="121">
        <f t="shared" si="115"/>
      </c>
    </row>
    <row r="462" spans="1:37" ht="15">
      <c r="A462" s="113">
        <v>48488</v>
      </c>
      <c r="B462" s="113" t="e">
        <f t="shared" si="102"/>
        <v>#N/A</v>
      </c>
      <c r="C462" s="108" t="e">
        <f t="shared" si="104"/>
        <v>#N/A</v>
      </c>
      <c r="D462" s="114">
        <f t="shared" si="108"/>
        <v>0</v>
      </c>
      <c r="E462" s="114" t="e">
        <f t="shared" si="103"/>
        <v>#N/A</v>
      </c>
      <c r="F462" s="108" t="e">
        <f t="shared" si="109"/>
        <v>#N/A</v>
      </c>
      <c r="G462" s="114">
        <f t="shared" si="110"/>
        <v>0</v>
      </c>
      <c r="H462" s="110">
        <v>462</v>
      </c>
      <c r="I462" s="115"/>
      <c r="J462" s="116"/>
      <c r="K462" s="115"/>
      <c r="L462" s="116"/>
      <c r="M462" s="117"/>
      <c r="N462" s="118">
        <f>IF(A462&gt;Dados!$C$16,0,IF(A462=Dados!$C$16,1,SUMIF($A$3:$A$500,CONCATENATE("&gt;",TEXT(DATEVALUE(TEXT(A462,"dd/mm/aaaa")),0)),$M$3:$M$500)-SUMIF($A$3:$A$500,CONCATENATE("&gt;",TEXT(Dados!$C$16-1,0)),$M$3:$M$500)+1%))</f>
        <v>0</v>
      </c>
      <c r="O462" s="119"/>
      <c r="P462" s="120">
        <f t="shared" si="105"/>
        <v>0</v>
      </c>
      <c r="Q462" s="119"/>
      <c r="R462" s="120">
        <f t="shared" si="106"/>
        <v>0</v>
      </c>
      <c r="S462" s="119"/>
      <c r="T462" s="120">
        <f t="shared" si="107"/>
        <v>0</v>
      </c>
      <c r="AG462" s="121">
        <f t="shared" si="111"/>
      </c>
      <c r="AH462" s="121">
        <f t="shared" si="112"/>
      </c>
      <c r="AI462" s="121">
        <f t="shared" si="113"/>
      </c>
      <c r="AJ462" s="121">
        <f t="shared" si="114"/>
      </c>
      <c r="AK462" s="121">
        <f t="shared" si="115"/>
      </c>
    </row>
    <row r="463" spans="1:37" ht="15">
      <c r="A463" s="113">
        <v>48519</v>
      </c>
      <c r="B463" s="113" t="e">
        <f t="shared" si="102"/>
        <v>#N/A</v>
      </c>
      <c r="C463" s="108" t="e">
        <f t="shared" si="104"/>
        <v>#N/A</v>
      </c>
      <c r="D463" s="114">
        <f t="shared" si="108"/>
        <v>0</v>
      </c>
      <c r="E463" s="114" t="e">
        <f t="shared" si="103"/>
        <v>#N/A</v>
      </c>
      <c r="F463" s="108" t="e">
        <f t="shared" si="109"/>
        <v>#N/A</v>
      </c>
      <c r="G463" s="114">
        <f t="shared" si="110"/>
        <v>0</v>
      </c>
      <c r="H463" s="110">
        <v>463</v>
      </c>
      <c r="I463" s="115"/>
      <c r="J463" s="116"/>
      <c r="K463" s="115"/>
      <c r="L463" s="116"/>
      <c r="M463" s="117"/>
      <c r="N463" s="118">
        <f>IF(A463&gt;Dados!$C$16,0,IF(A463=Dados!$C$16,1,SUMIF($A$3:$A$500,CONCATENATE("&gt;",TEXT(DATEVALUE(TEXT(A463,"dd/mm/aaaa")),0)),$M$3:$M$500)-SUMIF($A$3:$A$500,CONCATENATE("&gt;",TEXT(Dados!$C$16-1,0)),$M$3:$M$500)+1%))</f>
        <v>0</v>
      </c>
      <c r="O463" s="119"/>
      <c r="P463" s="120">
        <f t="shared" si="105"/>
        <v>0</v>
      </c>
      <c r="Q463" s="119"/>
      <c r="R463" s="120">
        <f t="shared" si="106"/>
        <v>0</v>
      </c>
      <c r="S463" s="119"/>
      <c r="T463" s="120">
        <f t="shared" si="107"/>
        <v>0</v>
      </c>
      <c r="AG463" s="121">
        <f t="shared" si="111"/>
      </c>
      <c r="AH463" s="121">
        <f t="shared" si="112"/>
      </c>
      <c r="AI463" s="121">
        <f t="shared" si="113"/>
      </c>
      <c r="AJ463" s="121">
        <f t="shared" si="114"/>
      </c>
      <c r="AK463" s="121">
        <f t="shared" si="115"/>
      </c>
    </row>
    <row r="464" spans="1:37" ht="15">
      <c r="A464" s="113">
        <v>48549</v>
      </c>
      <c r="B464" s="113" t="e">
        <f t="shared" si="102"/>
        <v>#N/A</v>
      </c>
      <c r="C464" s="108" t="e">
        <f t="shared" si="104"/>
        <v>#N/A</v>
      </c>
      <c r="D464" s="114">
        <f t="shared" si="108"/>
        <v>0</v>
      </c>
      <c r="E464" s="114" t="e">
        <f t="shared" si="103"/>
        <v>#N/A</v>
      </c>
      <c r="F464" s="108" t="e">
        <f t="shared" si="109"/>
        <v>#N/A</v>
      </c>
      <c r="G464" s="114">
        <f t="shared" si="110"/>
        <v>0</v>
      </c>
      <c r="H464" s="110">
        <v>464</v>
      </c>
      <c r="I464" s="115"/>
      <c r="J464" s="116"/>
      <c r="K464" s="115"/>
      <c r="L464" s="116"/>
      <c r="M464" s="117"/>
      <c r="N464" s="118">
        <f>IF(A464&gt;Dados!$C$16,0,IF(A464=Dados!$C$16,1,SUMIF($A$3:$A$500,CONCATENATE("&gt;",TEXT(DATEVALUE(TEXT(A464,"dd/mm/aaaa")),0)),$M$3:$M$500)-SUMIF($A$3:$A$500,CONCATENATE("&gt;",TEXT(Dados!$C$16-1,0)),$M$3:$M$500)+1%))</f>
        <v>0</v>
      </c>
      <c r="O464" s="119"/>
      <c r="P464" s="120">
        <f t="shared" si="105"/>
        <v>0</v>
      </c>
      <c r="Q464" s="119"/>
      <c r="R464" s="120">
        <f t="shared" si="106"/>
        <v>0</v>
      </c>
      <c r="S464" s="119"/>
      <c r="T464" s="120">
        <f t="shared" si="107"/>
        <v>0</v>
      </c>
      <c r="AG464" s="121">
        <f t="shared" si="111"/>
      </c>
      <c r="AH464" s="121">
        <f t="shared" si="112"/>
      </c>
      <c r="AI464" s="121">
        <f t="shared" si="113"/>
      </c>
      <c r="AJ464" s="121">
        <f t="shared" si="114"/>
      </c>
      <c r="AK464" s="121">
        <f t="shared" si="115"/>
      </c>
    </row>
    <row r="465" spans="1:37" ht="15">
      <c r="A465" s="113">
        <v>48580</v>
      </c>
      <c r="B465" s="113" t="e">
        <f t="shared" si="102"/>
        <v>#N/A</v>
      </c>
      <c r="C465" s="108" t="e">
        <f t="shared" si="104"/>
        <v>#N/A</v>
      </c>
      <c r="D465" s="114">
        <f t="shared" si="108"/>
        <v>0</v>
      </c>
      <c r="E465" s="114" t="e">
        <f t="shared" si="103"/>
        <v>#N/A</v>
      </c>
      <c r="F465" s="108" t="e">
        <f t="shared" si="109"/>
        <v>#N/A</v>
      </c>
      <c r="G465" s="114">
        <f t="shared" si="110"/>
        <v>0</v>
      </c>
      <c r="H465" s="110">
        <v>465</v>
      </c>
      <c r="I465" s="115"/>
      <c r="J465" s="116"/>
      <c r="K465" s="115"/>
      <c r="L465" s="116"/>
      <c r="M465" s="117"/>
      <c r="N465" s="118">
        <f>IF(A465&gt;Dados!$C$16,0,IF(A465=Dados!$C$16,1,SUMIF($A$3:$A$500,CONCATENATE("&gt;",TEXT(DATEVALUE(TEXT(A465,"dd/mm/aaaa")),0)),$M$3:$M$500)-SUMIF($A$3:$A$500,CONCATENATE("&gt;",TEXT(Dados!$C$16-1,0)),$M$3:$M$500)+1%))</f>
        <v>0</v>
      </c>
      <c r="O465" s="119"/>
      <c r="P465" s="120">
        <f t="shared" si="105"/>
        <v>0</v>
      </c>
      <c r="Q465" s="119"/>
      <c r="R465" s="120">
        <f t="shared" si="106"/>
        <v>0</v>
      </c>
      <c r="S465" s="119"/>
      <c r="T465" s="120">
        <f t="shared" si="107"/>
        <v>0</v>
      </c>
      <c r="AG465" s="121">
        <f t="shared" si="111"/>
      </c>
      <c r="AH465" s="121">
        <f t="shared" si="112"/>
      </c>
      <c r="AI465" s="121">
        <f t="shared" si="113"/>
      </c>
      <c r="AJ465" s="121">
        <f t="shared" si="114"/>
      </c>
      <c r="AK465" s="121">
        <f t="shared" si="115"/>
      </c>
    </row>
    <row r="466" spans="1:37" ht="15">
      <c r="A466" s="113">
        <v>48611</v>
      </c>
      <c r="B466" s="113" t="e">
        <f t="shared" si="102"/>
        <v>#N/A</v>
      </c>
      <c r="C466" s="108" t="e">
        <f t="shared" si="104"/>
        <v>#N/A</v>
      </c>
      <c r="D466" s="114">
        <f t="shared" si="108"/>
        <v>0</v>
      </c>
      <c r="E466" s="114" t="e">
        <f t="shared" si="103"/>
        <v>#N/A</v>
      </c>
      <c r="F466" s="108" t="e">
        <f t="shared" si="109"/>
        <v>#N/A</v>
      </c>
      <c r="G466" s="114">
        <f t="shared" si="110"/>
        <v>0</v>
      </c>
      <c r="H466" s="110">
        <v>466</v>
      </c>
      <c r="I466" s="115"/>
      <c r="J466" s="116"/>
      <c r="K466" s="115"/>
      <c r="L466" s="116"/>
      <c r="M466" s="117"/>
      <c r="N466" s="118">
        <f>IF(A466&gt;Dados!$C$16,0,IF(A466=Dados!$C$16,1,SUMIF($A$3:$A$500,CONCATENATE("&gt;",TEXT(DATEVALUE(TEXT(A466,"dd/mm/aaaa")),0)),$M$3:$M$500)-SUMIF($A$3:$A$500,CONCATENATE("&gt;",TEXT(Dados!$C$16-1,0)),$M$3:$M$500)+1%))</f>
        <v>0</v>
      </c>
      <c r="O466" s="119"/>
      <c r="P466" s="120">
        <f t="shared" si="105"/>
        <v>0</v>
      </c>
      <c r="Q466" s="119"/>
      <c r="R466" s="120">
        <f t="shared" si="106"/>
        <v>0</v>
      </c>
      <c r="S466" s="119"/>
      <c r="T466" s="120">
        <f t="shared" si="107"/>
        <v>0</v>
      </c>
      <c r="AG466" s="121">
        <f t="shared" si="111"/>
      </c>
      <c r="AH466" s="121">
        <f t="shared" si="112"/>
      </c>
      <c r="AI466" s="121">
        <f t="shared" si="113"/>
      </c>
      <c r="AJ466" s="121">
        <f t="shared" si="114"/>
      </c>
      <c r="AK466" s="121">
        <f t="shared" si="115"/>
      </c>
    </row>
    <row r="467" spans="1:37" ht="15">
      <c r="A467" s="113">
        <v>48639</v>
      </c>
      <c r="B467" s="113" t="e">
        <f t="shared" si="102"/>
        <v>#N/A</v>
      </c>
      <c r="C467" s="108" t="e">
        <f t="shared" si="104"/>
        <v>#N/A</v>
      </c>
      <c r="D467" s="114">
        <f t="shared" si="108"/>
        <v>0</v>
      </c>
      <c r="E467" s="114" t="e">
        <f t="shared" si="103"/>
        <v>#N/A</v>
      </c>
      <c r="F467" s="108" t="e">
        <f t="shared" si="109"/>
        <v>#N/A</v>
      </c>
      <c r="G467" s="114">
        <f t="shared" si="110"/>
        <v>0</v>
      </c>
      <c r="H467" s="110">
        <v>467</v>
      </c>
      <c r="I467" s="115"/>
      <c r="J467" s="116"/>
      <c r="K467" s="115"/>
      <c r="L467" s="116"/>
      <c r="M467" s="117"/>
      <c r="N467" s="118">
        <f>IF(A467&gt;Dados!$C$16,0,IF(A467=Dados!$C$16,1,SUMIF($A$3:$A$500,CONCATENATE("&gt;",TEXT(DATEVALUE(TEXT(A467,"dd/mm/aaaa")),0)),$M$3:$M$500)-SUMIF($A$3:$A$500,CONCATENATE("&gt;",TEXT(Dados!$C$16-1,0)),$M$3:$M$500)+1%))</f>
        <v>0</v>
      </c>
      <c r="O467" s="119"/>
      <c r="P467" s="120">
        <f t="shared" si="105"/>
        <v>0</v>
      </c>
      <c r="Q467" s="119"/>
      <c r="R467" s="120">
        <f t="shared" si="106"/>
        <v>0</v>
      </c>
      <c r="S467" s="119"/>
      <c r="T467" s="120">
        <f t="shared" si="107"/>
        <v>0</v>
      </c>
      <c r="AG467" s="121">
        <f t="shared" si="111"/>
      </c>
      <c r="AH467" s="121">
        <f t="shared" si="112"/>
      </c>
      <c r="AI467" s="121">
        <f t="shared" si="113"/>
      </c>
      <c r="AJ467" s="121">
        <f t="shared" si="114"/>
      </c>
      <c r="AK467" s="121">
        <f t="shared" si="115"/>
      </c>
    </row>
    <row r="468" spans="1:37" ht="15">
      <c r="A468" s="113">
        <v>48670</v>
      </c>
      <c r="B468" s="113" t="e">
        <f t="shared" si="102"/>
        <v>#N/A</v>
      </c>
      <c r="C468" s="108" t="e">
        <f t="shared" si="104"/>
        <v>#N/A</v>
      </c>
      <c r="D468" s="114">
        <f t="shared" si="108"/>
        <v>0</v>
      </c>
      <c r="E468" s="114" t="e">
        <f t="shared" si="103"/>
        <v>#N/A</v>
      </c>
      <c r="F468" s="108" t="e">
        <f t="shared" si="109"/>
        <v>#N/A</v>
      </c>
      <c r="G468" s="114">
        <f t="shared" si="110"/>
        <v>0</v>
      </c>
      <c r="H468" s="110">
        <v>468</v>
      </c>
      <c r="I468" s="115"/>
      <c r="J468" s="116"/>
      <c r="K468" s="115"/>
      <c r="L468" s="116"/>
      <c r="M468" s="117"/>
      <c r="N468" s="118">
        <f>IF(A468&gt;Dados!$C$16,0,IF(A468=Dados!$C$16,1,SUMIF($A$3:$A$500,CONCATENATE("&gt;",TEXT(DATEVALUE(TEXT(A468,"dd/mm/aaaa")),0)),$M$3:$M$500)-SUMIF($A$3:$A$500,CONCATENATE("&gt;",TEXT(Dados!$C$16-1,0)),$M$3:$M$500)+1%))</f>
        <v>0</v>
      </c>
      <c r="O468" s="119"/>
      <c r="P468" s="120">
        <f t="shared" si="105"/>
        <v>0</v>
      </c>
      <c r="Q468" s="119"/>
      <c r="R468" s="120">
        <f t="shared" si="106"/>
        <v>0</v>
      </c>
      <c r="S468" s="119"/>
      <c r="T468" s="120">
        <f t="shared" si="107"/>
        <v>0</v>
      </c>
      <c r="AG468" s="121">
        <f t="shared" si="111"/>
      </c>
      <c r="AH468" s="121">
        <f t="shared" si="112"/>
      </c>
      <c r="AI468" s="121">
        <f t="shared" si="113"/>
      </c>
      <c r="AJ468" s="121">
        <f t="shared" si="114"/>
      </c>
      <c r="AK468" s="121">
        <f t="shared" si="115"/>
      </c>
    </row>
    <row r="469" spans="1:37" ht="15">
      <c r="A469" s="113">
        <v>48700</v>
      </c>
      <c r="B469" s="113" t="e">
        <f t="shared" si="102"/>
        <v>#N/A</v>
      </c>
      <c r="C469" s="108" t="e">
        <f t="shared" si="104"/>
        <v>#N/A</v>
      </c>
      <c r="D469" s="114">
        <f t="shared" si="108"/>
        <v>0</v>
      </c>
      <c r="E469" s="114" t="e">
        <f t="shared" si="103"/>
        <v>#N/A</v>
      </c>
      <c r="F469" s="108" t="e">
        <f t="shared" si="109"/>
        <v>#N/A</v>
      </c>
      <c r="G469" s="114">
        <f t="shared" si="110"/>
        <v>0</v>
      </c>
      <c r="H469" s="110">
        <v>469</v>
      </c>
      <c r="I469" s="115"/>
      <c r="J469" s="116"/>
      <c r="K469" s="115"/>
      <c r="L469" s="116"/>
      <c r="M469" s="117"/>
      <c r="N469" s="118">
        <f>IF(A469&gt;Dados!$C$16,0,IF(A469=Dados!$C$16,1,SUMIF($A$3:$A$500,CONCATENATE("&gt;",TEXT(DATEVALUE(TEXT(A469,"dd/mm/aaaa")),0)),$M$3:$M$500)-SUMIF($A$3:$A$500,CONCATENATE("&gt;",TEXT(Dados!$C$16-1,0)),$M$3:$M$500)+1%))</f>
        <v>0</v>
      </c>
      <c r="O469" s="119"/>
      <c r="P469" s="120">
        <f t="shared" si="105"/>
        <v>0</v>
      </c>
      <c r="Q469" s="119"/>
      <c r="R469" s="120">
        <f t="shared" si="106"/>
        <v>0</v>
      </c>
      <c r="S469" s="119"/>
      <c r="T469" s="120">
        <f t="shared" si="107"/>
        <v>0</v>
      </c>
      <c r="AG469" s="121">
        <f t="shared" si="111"/>
      </c>
      <c r="AH469" s="121">
        <f t="shared" si="112"/>
      </c>
      <c r="AI469" s="121">
        <f t="shared" si="113"/>
      </c>
      <c r="AJ469" s="121">
        <f t="shared" si="114"/>
      </c>
      <c r="AK469" s="121">
        <f t="shared" si="115"/>
      </c>
    </row>
    <row r="470" spans="1:37" ht="15">
      <c r="A470" s="113">
        <v>48731</v>
      </c>
      <c r="B470" s="113" t="e">
        <f t="shared" si="102"/>
        <v>#N/A</v>
      </c>
      <c r="C470" s="108" t="e">
        <f t="shared" si="104"/>
        <v>#N/A</v>
      </c>
      <c r="D470" s="114">
        <f t="shared" si="108"/>
        <v>0</v>
      </c>
      <c r="E470" s="114" t="e">
        <f t="shared" si="103"/>
        <v>#N/A</v>
      </c>
      <c r="F470" s="108" t="e">
        <f t="shared" si="109"/>
        <v>#N/A</v>
      </c>
      <c r="G470" s="114">
        <f t="shared" si="110"/>
        <v>0</v>
      </c>
      <c r="H470" s="110">
        <v>470</v>
      </c>
      <c r="I470" s="115"/>
      <c r="J470" s="116"/>
      <c r="K470" s="115"/>
      <c r="L470" s="116"/>
      <c r="M470" s="117"/>
      <c r="N470" s="118">
        <f>IF(A470&gt;Dados!$C$16,0,IF(A470=Dados!$C$16,1,SUMIF($A$3:$A$500,CONCATENATE("&gt;",TEXT(DATEVALUE(TEXT(A470,"dd/mm/aaaa")),0)),$M$3:$M$500)-SUMIF($A$3:$A$500,CONCATENATE("&gt;",TEXT(Dados!$C$16-1,0)),$M$3:$M$500)+1%))</f>
        <v>0</v>
      </c>
      <c r="O470" s="119"/>
      <c r="P470" s="120">
        <f t="shared" si="105"/>
        <v>0</v>
      </c>
      <c r="Q470" s="119"/>
      <c r="R470" s="120">
        <f t="shared" si="106"/>
        <v>0</v>
      </c>
      <c r="S470" s="119"/>
      <c r="T470" s="120">
        <f t="shared" si="107"/>
        <v>0</v>
      </c>
      <c r="AG470" s="121">
        <f t="shared" si="111"/>
      </c>
      <c r="AH470" s="121">
        <f t="shared" si="112"/>
      </c>
      <c r="AI470" s="121">
        <f t="shared" si="113"/>
      </c>
      <c r="AJ470" s="121">
        <f t="shared" si="114"/>
      </c>
      <c r="AK470" s="121">
        <f t="shared" si="115"/>
      </c>
    </row>
    <row r="471" spans="1:37" ht="15">
      <c r="A471" s="113">
        <v>48761</v>
      </c>
      <c r="B471" s="113" t="e">
        <f t="shared" si="102"/>
        <v>#N/A</v>
      </c>
      <c r="C471" s="108" t="e">
        <f t="shared" si="104"/>
        <v>#N/A</v>
      </c>
      <c r="D471" s="114">
        <f t="shared" si="108"/>
        <v>0</v>
      </c>
      <c r="E471" s="114" t="e">
        <f t="shared" si="103"/>
        <v>#N/A</v>
      </c>
      <c r="F471" s="108" t="e">
        <f t="shared" si="109"/>
        <v>#N/A</v>
      </c>
      <c r="G471" s="114">
        <f t="shared" si="110"/>
        <v>0</v>
      </c>
      <c r="H471" s="110">
        <v>471</v>
      </c>
      <c r="I471" s="115"/>
      <c r="J471" s="116"/>
      <c r="K471" s="115"/>
      <c r="L471" s="116"/>
      <c r="M471" s="117"/>
      <c r="N471" s="118">
        <f>IF(A471&gt;Dados!$C$16,0,IF(A471=Dados!$C$16,1,SUMIF($A$3:$A$500,CONCATENATE("&gt;",TEXT(DATEVALUE(TEXT(A471,"dd/mm/aaaa")),0)),$M$3:$M$500)-SUMIF($A$3:$A$500,CONCATENATE("&gt;",TEXT(Dados!$C$16-1,0)),$M$3:$M$500)+1%))</f>
        <v>0</v>
      </c>
      <c r="O471" s="119"/>
      <c r="P471" s="120">
        <f t="shared" si="105"/>
        <v>0</v>
      </c>
      <c r="Q471" s="119"/>
      <c r="R471" s="120">
        <f t="shared" si="106"/>
        <v>0</v>
      </c>
      <c r="S471" s="119"/>
      <c r="T471" s="120">
        <f t="shared" si="107"/>
        <v>0</v>
      </c>
      <c r="AG471" s="121">
        <f t="shared" si="111"/>
      </c>
      <c r="AH471" s="121">
        <f t="shared" si="112"/>
      </c>
      <c r="AI471" s="121">
        <f t="shared" si="113"/>
      </c>
      <c r="AJ471" s="121">
        <f t="shared" si="114"/>
      </c>
      <c r="AK471" s="121">
        <f t="shared" si="115"/>
      </c>
    </row>
    <row r="472" spans="1:37" ht="15">
      <c r="A472" s="113">
        <v>48792</v>
      </c>
      <c r="B472" s="113" t="e">
        <f t="shared" si="102"/>
        <v>#N/A</v>
      </c>
      <c r="C472" s="108" t="e">
        <f t="shared" si="104"/>
        <v>#N/A</v>
      </c>
      <c r="D472" s="114">
        <f t="shared" si="108"/>
        <v>0</v>
      </c>
      <c r="E472" s="114" t="e">
        <f t="shared" si="103"/>
        <v>#N/A</v>
      </c>
      <c r="F472" s="108" t="e">
        <f t="shared" si="109"/>
        <v>#N/A</v>
      </c>
      <c r="G472" s="114">
        <f t="shared" si="110"/>
        <v>0</v>
      </c>
      <c r="H472" s="110">
        <v>472</v>
      </c>
      <c r="I472" s="115"/>
      <c r="J472" s="116"/>
      <c r="K472" s="115"/>
      <c r="L472" s="116"/>
      <c r="M472" s="117"/>
      <c r="N472" s="118">
        <f>IF(A472&gt;Dados!$C$16,0,IF(A472=Dados!$C$16,1,SUMIF($A$3:$A$500,CONCATENATE("&gt;",TEXT(DATEVALUE(TEXT(A472,"dd/mm/aaaa")),0)),$M$3:$M$500)-SUMIF($A$3:$A$500,CONCATENATE("&gt;",TEXT(Dados!$C$16-1,0)),$M$3:$M$500)+1%))</f>
        <v>0</v>
      </c>
      <c r="O472" s="119"/>
      <c r="P472" s="120">
        <f t="shared" si="105"/>
        <v>0</v>
      </c>
      <c r="Q472" s="119"/>
      <c r="R472" s="120">
        <f t="shared" si="106"/>
        <v>0</v>
      </c>
      <c r="S472" s="119"/>
      <c r="T472" s="120">
        <f t="shared" si="107"/>
        <v>0</v>
      </c>
      <c r="AG472" s="121">
        <f t="shared" si="111"/>
      </c>
      <c r="AH472" s="121">
        <f t="shared" si="112"/>
      </c>
      <c r="AI472" s="121">
        <f t="shared" si="113"/>
      </c>
      <c r="AJ472" s="121">
        <f t="shared" si="114"/>
      </c>
      <c r="AK472" s="121">
        <f t="shared" si="115"/>
      </c>
    </row>
    <row r="473" spans="1:37" ht="15">
      <c r="A473" s="113">
        <v>48823</v>
      </c>
      <c r="B473" s="113" t="e">
        <f t="shared" si="102"/>
        <v>#N/A</v>
      </c>
      <c r="C473" s="108" t="e">
        <f t="shared" si="104"/>
        <v>#N/A</v>
      </c>
      <c r="D473" s="114">
        <f t="shared" si="108"/>
        <v>0</v>
      </c>
      <c r="E473" s="114" t="e">
        <f t="shared" si="103"/>
        <v>#N/A</v>
      </c>
      <c r="F473" s="108" t="e">
        <f t="shared" si="109"/>
        <v>#N/A</v>
      </c>
      <c r="G473" s="114">
        <f t="shared" si="110"/>
        <v>0</v>
      </c>
      <c r="H473" s="110">
        <v>473</v>
      </c>
      <c r="I473" s="115"/>
      <c r="J473" s="116"/>
      <c r="K473" s="115"/>
      <c r="L473" s="116"/>
      <c r="M473" s="117"/>
      <c r="N473" s="118">
        <f>IF(A473&gt;Dados!$C$16,0,IF(A473=Dados!$C$16,1,SUMIF($A$3:$A$500,CONCATENATE("&gt;",TEXT(DATEVALUE(TEXT(A473,"dd/mm/aaaa")),0)),$M$3:$M$500)-SUMIF($A$3:$A$500,CONCATENATE("&gt;",TEXT(Dados!$C$16-1,0)),$M$3:$M$500)+1%))</f>
        <v>0</v>
      </c>
      <c r="O473" s="119"/>
      <c r="P473" s="120">
        <f t="shared" si="105"/>
        <v>0</v>
      </c>
      <c r="Q473" s="119"/>
      <c r="R473" s="120">
        <f t="shared" si="106"/>
        <v>0</v>
      </c>
      <c r="S473" s="119"/>
      <c r="T473" s="120">
        <f t="shared" si="107"/>
        <v>0</v>
      </c>
      <c r="AG473" s="121">
        <f t="shared" si="111"/>
      </c>
      <c r="AH473" s="121">
        <f t="shared" si="112"/>
      </c>
      <c r="AI473" s="121">
        <f t="shared" si="113"/>
      </c>
      <c r="AJ473" s="121">
        <f t="shared" si="114"/>
      </c>
      <c r="AK473" s="121">
        <f t="shared" si="115"/>
      </c>
    </row>
    <row r="474" spans="1:37" ht="15">
      <c r="A474" s="113">
        <v>48853</v>
      </c>
      <c r="B474" s="113" t="e">
        <f t="shared" si="102"/>
        <v>#N/A</v>
      </c>
      <c r="C474" s="108" t="e">
        <f t="shared" si="104"/>
        <v>#N/A</v>
      </c>
      <c r="D474" s="114">
        <f t="shared" si="108"/>
        <v>0</v>
      </c>
      <c r="E474" s="114" t="e">
        <f t="shared" si="103"/>
        <v>#N/A</v>
      </c>
      <c r="F474" s="108" t="e">
        <f t="shared" si="109"/>
        <v>#N/A</v>
      </c>
      <c r="G474" s="114">
        <f t="shared" si="110"/>
        <v>0</v>
      </c>
      <c r="H474" s="110">
        <v>474</v>
      </c>
      <c r="I474" s="115"/>
      <c r="J474" s="116"/>
      <c r="K474" s="115"/>
      <c r="L474" s="116"/>
      <c r="M474" s="117"/>
      <c r="N474" s="118">
        <f>IF(A474&gt;Dados!$C$16,0,IF(A474=Dados!$C$16,1,SUMIF($A$3:$A$500,CONCATENATE("&gt;",TEXT(DATEVALUE(TEXT(A474,"dd/mm/aaaa")),0)),$M$3:$M$500)-SUMIF($A$3:$A$500,CONCATENATE("&gt;",TEXT(Dados!$C$16-1,0)),$M$3:$M$500)+1%))</f>
        <v>0</v>
      </c>
      <c r="O474" s="119"/>
      <c r="P474" s="120">
        <f t="shared" si="105"/>
        <v>0</v>
      </c>
      <c r="Q474" s="119"/>
      <c r="R474" s="120">
        <f t="shared" si="106"/>
        <v>0</v>
      </c>
      <c r="S474" s="119"/>
      <c r="T474" s="120">
        <f t="shared" si="107"/>
        <v>0</v>
      </c>
      <c r="AG474" s="121">
        <f t="shared" si="111"/>
      </c>
      <c r="AH474" s="121">
        <f t="shared" si="112"/>
      </c>
      <c r="AI474" s="121">
        <f t="shared" si="113"/>
      </c>
      <c r="AJ474" s="121">
        <f t="shared" si="114"/>
      </c>
      <c r="AK474" s="121">
        <f t="shared" si="115"/>
      </c>
    </row>
    <row r="475" spans="1:37" ht="15">
      <c r="A475" s="113">
        <v>48884</v>
      </c>
      <c r="B475" s="113" t="e">
        <f aca="true" t="shared" si="116" ref="B475:B500">B474</f>
        <v>#N/A</v>
      </c>
      <c r="C475" s="108" t="e">
        <f t="shared" si="104"/>
        <v>#N/A</v>
      </c>
      <c r="D475" s="114">
        <f t="shared" si="108"/>
        <v>0</v>
      </c>
      <c r="E475" s="114" t="e">
        <f aca="true" t="shared" si="117" ref="E475:E500">E474</f>
        <v>#N/A</v>
      </c>
      <c r="F475" s="108" t="e">
        <f t="shared" si="109"/>
        <v>#N/A</v>
      </c>
      <c r="G475" s="114">
        <f t="shared" si="110"/>
        <v>0</v>
      </c>
      <c r="H475" s="110">
        <v>475</v>
      </c>
      <c r="I475" s="115"/>
      <c r="J475" s="116"/>
      <c r="K475" s="115"/>
      <c r="L475" s="116"/>
      <c r="M475" s="117"/>
      <c r="N475" s="118">
        <f>IF(A475&gt;Dados!$C$16,0,IF(A475=Dados!$C$16,1,SUMIF($A$3:$A$500,CONCATENATE("&gt;",TEXT(DATEVALUE(TEXT(A475,"dd/mm/aaaa")),0)),$M$3:$M$500)-SUMIF($A$3:$A$500,CONCATENATE("&gt;",TEXT(Dados!$C$16-1,0)),$M$3:$M$500)+1%))</f>
        <v>0</v>
      </c>
      <c r="O475" s="119"/>
      <c r="P475" s="120">
        <f t="shared" si="105"/>
        <v>0</v>
      </c>
      <c r="Q475" s="119"/>
      <c r="R475" s="120">
        <f t="shared" si="106"/>
        <v>0</v>
      </c>
      <c r="S475" s="119"/>
      <c r="T475" s="120">
        <f t="shared" si="107"/>
        <v>0</v>
      </c>
      <c r="AG475" s="121">
        <f t="shared" si="111"/>
      </c>
      <c r="AH475" s="121">
        <f t="shared" si="112"/>
      </c>
      <c r="AI475" s="121">
        <f t="shared" si="113"/>
      </c>
      <c r="AJ475" s="121">
        <f t="shared" si="114"/>
      </c>
      <c r="AK475" s="121">
        <f t="shared" si="115"/>
      </c>
    </row>
    <row r="476" spans="1:37" ht="15">
      <c r="A476" s="113">
        <v>48914</v>
      </c>
      <c r="B476" s="113" t="e">
        <f t="shared" si="116"/>
        <v>#N/A</v>
      </c>
      <c r="C476" s="108" t="e">
        <f t="shared" si="104"/>
        <v>#N/A</v>
      </c>
      <c r="D476" s="114">
        <f t="shared" si="108"/>
        <v>0</v>
      </c>
      <c r="E476" s="114" t="e">
        <f t="shared" si="117"/>
        <v>#N/A</v>
      </c>
      <c r="F476" s="108" t="e">
        <f t="shared" si="109"/>
        <v>#N/A</v>
      </c>
      <c r="G476" s="114">
        <f t="shared" si="110"/>
        <v>0</v>
      </c>
      <c r="H476" s="110">
        <v>476</v>
      </c>
      <c r="I476" s="115"/>
      <c r="J476" s="116"/>
      <c r="K476" s="115"/>
      <c r="L476" s="116"/>
      <c r="M476" s="117"/>
      <c r="N476" s="118">
        <f>IF(A476&gt;Dados!$C$16,0,IF(A476=Dados!$C$16,1,SUMIF($A$3:$A$500,CONCATENATE("&gt;",TEXT(DATEVALUE(TEXT(A476,"dd/mm/aaaa")),0)),$M$3:$M$500)-SUMIF($A$3:$A$500,CONCATENATE("&gt;",TEXT(Dados!$C$16-1,0)),$M$3:$M$500)+1%))</f>
        <v>0</v>
      </c>
      <c r="O476" s="119"/>
      <c r="P476" s="120">
        <f t="shared" si="105"/>
        <v>0</v>
      </c>
      <c r="Q476" s="119"/>
      <c r="R476" s="120">
        <f t="shared" si="106"/>
        <v>0</v>
      </c>
      <c r="S476" s="119"/>
      <c r="T476" s="120">
        <f t="shared" si="107"/>
        <v>0</v>
      </c>
      <c r="AG476" s="121">
        <f t="shared" si="111"/>
      </c>
      <c r="AH476" s="121">
        <f t="shared" si="112"/>
      </c>
      <c r="AI476" s="121">
        <f t="shared" si="113"/>
      </c>
      <c r="AJ476" s="121">
        <f t="shared" si="114"/>
      </c>
      <c r="AK476" s="121">
        <f t="shared" si="115"/>
      </c>
    </row>
    <row r="477" spans="1:37" ht="15">
      <c r="A477" s="113">
        <v>48945</v>
      </c>
      <c r="B477" s="113" t="e">
        <f t="shared" si="116"/>
        <v>#N/A</v>
      </c>
      <c r="C477" s="108" t="e">
        <f t="shared" si="104"/>
        <v>#N/A</v>
      </c>
      <c r="D477" s="114">
        <f t="shared" si="108"/>
        <v>0</v>
      </c>
      <c r="E477" s="114" t="e">
        <f t="shared" si="117"/>
        <v>#N/A</v>
      </c>
      <c r="F477" s="108" t="e">
        <f t="shared" si="109"/>
        <v>#N/A</v>
      </c>
      <c r="G477" s="114">
        <f t="shared" si="110"/>
        <v>0</v>
      </c>
      <c r="H477" s="110">
        <v>477</v>
      </c>
      <c r="I477" s="115"/>
      <c r="J477" s="116"/>
      <c r="K477" s="115"/>
      <c r="L477" s="116"/>
      <c r="M477" s="117"/>
      <c r="N477" s="118">
        <f>IF(A477&gt;Dados!$C$16,0,IF(A477=Dados!$C$16,1,SUMIF($A$3:$A$500,CONCATENATE("&gt;",TEXT(DATEVALUE(TEXT(A477,"dd/mm/aaaa")),0)),$M$3:$M$500)-SUMIF($A$3:$A$500,CONCATENATE("&gt;",TEXT(Dados!$C$16-1,0)),$M$3:$M$500)+1%))</f>
        <v>0</v>
      </c>
      <c r="O477" s="119"/>
      <c r="P477" s="120">
        <f t="shared" si="105"/>
        <v>0</v>
      </c>
      <c r="Q477" s="119"/>
      <c r="R477" s="120">
        <f t="shared" si="106"/>
        <v>0</v>
      </c>
      <c r="S477" s="119"/>
      <c r="T477" s="120">
        <f t="shared" si="107"/>
        <v>0</v>
      </c>
      <c r="AG477" s="121">
        <f t="shared" si="111"/>
      </c>
      <c r="AH477" s="121">
        <f t="shared" si="112"/>
      </c>
      <c r="AI477" s="121">
        <f t="shared" si="113"/>
      </c>
      <c r="AJ477" s="121">
        <f t="shared" si="114"/>
      </c>
      <c r="AK477" s="121">
        <f t="shared" si="115"/>
      </c>
    </row>
    <row r="478" spans="1:37" ht="15">
      <c r="A478" s="113">
        <v>48976</v>
      </c>
      <c r="B478" s="113" t="e">
        <f t="shared" si="116"/>
        <v>#N/A</v>
      </c>
      <c r="C478" s="108" t="e">
        <f t="shared" si="104"/>
        <v>#N/A</v>
      </c>
      <c r="D478" s="114">
        <f t="shared" si="108"/>
        <v>0</v>
      </c>
      <c r="E478" s="114" t="e">
        <f t="shared" si="117"/>
        <v>#N/A</v>
      </c>
      <c r="F478" s="108" t="e">
        <f t="shared" si="109"/>
        <v>#N/A</v>
      </c>
      <c r="G478" s="114">
        <f t="shared" si="110"/>
        <v>0</v>
      </c>
      <c r="H478" s="110">
        <v>478</v>
      </c>
      <c r="I478" s="115"/>
      <c r="J478" s="116"/>
      <c r="K478" s="115"/>
      <c r="L478" s="116"/>
      <c r="M478" s="117"/>
      <c r="N478" s="118">
        <f>IF(A478&gt;Dados!$C$16,0,IF(A478=Dados!$C$16,1,SUMIF($A$3:$A$500,CONCATENATE("&gt;",TEXT(DATEVALUE(TEXT(A478,"dd/mm/aaaa")),0)),$M$3:$M$500)-SUMIF($A$3:$A$500,CONCATENATE("&gt;",TEXT(Dados!$C$16-1,0)),$M$3:$M$500)+1%))</f>
        <v>0</v>
      </c>
      <c r="O478" s="119"/>
      <c r="P478" s="120">
        <f t="shared" si="105"/>
        <v>0</v>
      </c>
      <c r="Q478" s="119"/>
      <c r="R478" s="120">
        <f t="shared" si="106"/>
        <v>0</v>
      </c>
      <c r="S478" s="119"/>
      <c r="T478" s="120">
        <f t="shared" si="107"/>
        <v>0</v>
      </c>
      <c r="AG478" s="121">
        <f t="shared" si="111"/>
      </c>
      <c r="AH478" s="121">
        <f t="shared" si="112"/>
      </c>
      <c r="AI478" s="121">
        <f t="shared" si="113"/>
      </c>
      <c r="AJ478" s="121">
        <f t="shared" si="114"/>
      </c>
      <c r="AK478" s="121">
        <f t="shared" si="115"/>
      </c>
    </row>
    <row r="479" spans="1:37" ht="15">
      <c r="A479" s="113">
        <v>49004</v>
      </c>
      <c r="B479" s="113" t="e">
        <f t="shared" si="116"/>
        <v>#N/A</v>
      </c>
      <c r="C479" s="108" t="e">
        <f t="shared" si="104"/>
        <v>#N/A</v>
      </c>
      <c r="D479" s="114">
        <f t="shared" si="108"/>
        <v>0</v>
      </c>
      <c r="E479" s="114" t="e">
        <f t="shared" si="117"/>
        <v>#N/A</v>
      </c>
      <c r="F479" s="108" t="e">
        <f t="shared" si="109"/>
        <v>#N/A</v>
      </c>
      <c r="G479" s="114">
        <f t="shared" si="110"/>
        <v>0</v>
      </c>
      <c r="H479" s="110">
        <v>479</v>
      </c>
      <c r="I479" s="115"/>
      <c r="J479" s="116"/>
      <c r="K479" s="115"/>
      <c r="L479" s="116"/>
      <c r="M479" s="117"/>
      <c r="N479" s="118">
        <f>IF(A479&gt;Dados!$C$16,0,IF(A479=Dados!$C$16,1,SUMIF($A$3:$A$500,CONCATENATE("&gt;",TEXT(DATEVALUE(TEXT(A479,"dd/mm/aaaa")),0)),$M$3:$M$500)-SUMIF($A$3:$A$500,CONCATENATE("&gt;",TEXT(Dados!$C$16-1,0)),$M$3:$M$500)+1%))</f>
        <v>0</v>
      </c>
      <c r="O479" s="119"/>
      <c r="P479" s="120">
        <f t="shared" si="105"/>
        <v>0</v>
      </c>
      <c r="Q479" s="119"/>
      <c r="R479" s="120">
        <f t="shared" si="106"/>
        <v>0</v>
      </c>
      <c r="S479" s="119"/>
      <c r="T479" s="120">
        <f t="shared" si="107"/>
        <v>0</v>
      </c>
      <c r="AG479" s="121">
        <f t="shared" si="111"/>
      </c>
      <c r="AH479" s="121">
        <f t="shared" si="112"/>
      </c>
      <c r="AI479" s="121">
        <f t="shared" si="113"/>
      </c>
      <c r="AJ479" s="121">
        <f t="shared" si="114"/>
      </c>
      <c r="AK479" s="121">
        <f t="shared" si="115"/>
      </c>
    </row>
    <row r="480" spans="1:37" ht="15">
      <c r="A480" s="113">
        <v>49035</v>
      </c>
      <c r="B480" s="113" t="e">
        <f t="shared" si="116"/>
        <v>#N/A</v>
      </c>
      <c r="C480" s="108" t="e">
        <f t="shared" si="104"/>
        <v>#N/A</v>
      </c>
      <c r="D480" s="114">
        <f t="shared" si="108"/>
        <v>0</v>
      </c>
      <c r="E480" s="114" t="e">
        <f t="shared" si="117"/>
        <v>#N/A</v>
      </c>
      <c r="F480" s="108" t="e">
        <f t="shared" si="109"/>
        <v>#N/A</v>
      </c>
      <c r="G480" s="114">
        <f t="shared" si="110"/>
        <v>0</v>
      </c>
      <c r="H480" s="110">
        <v>480</v>
      </c>
      <c r="I480" s="115"/>
      <c r="J480" s="116"/>
      <c r="K480" s="115"/>
      <c r="L480" s="116"/>
      <c r="M480" s="117"/>
      <c r="N480" s="118">
        <f>IF(A480&gt;Dados!$C$16,0,IF(A480=Dados!$C$16,1,SUMIF($A$3:$A$500,CONCATENATE("&gt;",TEXT(DATEVALUE(TEXT(A480,"dd/mm/aaaa")),0)),$M$3:$M$500)-SUMIF($A$3:$A$500,CONCATENATE("&gt;",TEXT(Dados!$C$16-1,0)),$M$3:$M$500)+1%))</f>
        <v>0</v>
      </c>
      <c r="O480" s="119"/>
      <c r="P480" s="120">
        <f t="shared" si="105"/>
        <v>0</v>
      </c>
      <c r="Q480" s="119"/>
      <c r="R480" s="120">
        <f t="shared" si="106"/>
        <v>0</v>
      </c>
      <c r="S480" s="119"/>
      <c r="T480" s="120">
        <f t="shared" si="107"/>
        <v>0</v>
      </c>
      <c r="AG480" s="121">
        <f t="shared" si="111"/>
      </c>
      <c r="AH480" s="121">
        <f t="shared" si="112"/>
      </c>
      <c r="AI480" s="121">
        <f t="shared" si="113"/>
      </c>
      <c r="AJ480" s="121">
        <f t="shared" si="114"/>
      </c>
      <c r="AK480" s="121">
        <f t="shared" si="115"/>
      </c>
    </row>
    <row r="481" spans="1:37" ht="15">
      <c r="A481" s="113">
        <v>49065</v>
      </c>
      <c r="B481" s="113" t="e">
        <f t="shared" si="116"/>
        <v>#N/A</v>
      </c>
      <c r="C481" s="108" t="e">
        <f t="shared" si="104"/>
        <v>#N/A</v>
      </c>
      <c r="D481" s="114">
        <f t="shared" si="108"/>
        <v>0</v>
      </c>
      <c r="E481" s="114" t="e">
        <f t="shared" si="117"/>
        <v>#N/A</v>
      </c>
      <c r="F481" s="108" t="e">
        <f t="shared" si="109"/>
        <v>#N/A</v>
      </c>
      <c r="G481" s="114">
        <f t="shared" si="110"/>
        <v>0</v>
      </c>
      <c r="H481" s="110">
        <v>481</v>
      </c>
      <c r="I481" s="115"/>
      <c r="J481" s="116"/>
      <c r="K481" s="115"/>
      <c r="L481" s="116"/>
      <c r="M481" s="117"/>
      <c r="N481" s="118">
        <f>IF(A481&gt;Dados!$C$16,0,IF(A481=Dados!$C$16,1,SUMIF($A$3:$A$500,CONCATENATE("&gt;",TEXT(DATEVALUE(TEXT(A481,"dd/mm/aaaa")),0)),$M$3:$M$500)-SUMIF($A$3:$A$500,CONCATENATE("&gt;",TEXT(Dados!$C$16-1,0)),$M$3:$M$500)+1%))</f>
        <v>0</v>
      </c>
      <c r="O481" s="119"/>
      <c r="P481" s="120">
        <f t="shared" si="105"/>
        <v>0</v>
      </c>
      <c r="Q481" s="119"/>
      <c r="R481" s="120">
        <f t="shared" si="106"/>
        <v>0</v>
      </c>
      <c r="S481" s="119"/>
      <c r="T481" s="120">
        <f t="shared" si="107"/>
        <v>0</v>
      </c>
      <c r="AG481" s="121">
        <f t="shared" si="111"/>
      </c>
      <c r="AH481" s="121">
        <f t="shared" si="112"/>
      </c>
      <c r="AI481" s="121">
        <f t="shared" si="113"/>
      </c>
      <c r="AJ481" s="121">
        <f t="shared" si="114"/>
      </c>
      <c r="AK481" s="121">
        <f t="shared" si="115"/>
      </c>
    </row>
    <row r="482" spans="1:37" ht="15">
      <c r="A482" s="113">
        <v>49096</v>
      </c>
      <c r="B482" s="113" t="e">
        <f t="shared" si="116"/>
        <v>#N/A</v>
      </c>
      <c r="C482" s="108" t="e">
        <f t="shared" si="104"/>
        <v>#N/A</v>
      </c>
      <c r="D482" s="114">
        <f t="shared" si="108"/>
        <v>0</v>
      </c>
      <c r="E482" s="114" t="e">
        <f t="shared" si="117"/>
        <v>#N/A</v>
      </c>
      <c r="F482" s="108" t="e">
        <f t="shared" si="109"/>
        <v>#N/A</v>
      </c>
      <c r="G482" s="114">
        <f t="shared" si="110"/>
        <v>0</v>
      </c>
      <c r="H482" s="110">
        <v>482</v>
      </c>
      <c r="I482" s="115"/>
      <c r="J482" s="116"/>
      <c r="K482" s="115"/>
      <c r="L482" s="116"/>
      <c r="M482" s="117"/>
      <c r="N482" s="118">
        <f>IF(A482&gt;Dados!$C$16,0,IF(A482=Dados!$C$16,1,SUMIF($A$3:$A$500,CONCATENATE("&gt;",TEXT(DATEVALUE(TEXT(A482,"dd/mm/aaaa")),0)),$M$3:$M$500)-SUMIF($A$3:$A$500,CONCATENATE("&gt;",TEXT(Dados!$C$16-1,0)),$M$3:$M$500)+1%))</f>
        <v>0</v>
      </c>
      <c r="O482" s="119"/>
      <c r="P482" s="120">
        <f t="shared" si="105"/>
        <v>0</v>
      </c>
      <c r="Q482" s="119"/>
      <c r="R482" s="120">
        <f t="shared" si="106"/>
        <v>0</v>
      </c>
      <c r="S482" s="119"/>
      <c r="T482" s="120">
        <f t="shared" si="107"/>
        <v>0</v>
      </c>
      <c r="AG482" s="121">
        <f t="shared" si="111"/>
      </c>
      <c r="AH482" s="121">
        <f t="shared" si="112"/>
      </c>
      <c r="AI482" s="121">
        <f t="shared" si="113"/>
      </c>
      <c r="AJ482" s="121">
        <f t="shared" si="114"/>
      </c>
      <c r="AK482" s="121">
        <f t="shared" si="115"/>
      </c>
    </row>
    <row r="483" spans="1:37" ht="15">
      <c r="A483" s="113">
        <v>49126</v>
      </c>
      <c r="B483" s="113" t="e">
        <f t="shared" si="116"/>
        <v>#N/A</v>
      </c>
      <c r="C483" s="108" t="e">
        <f t="shared" si="104"/>
        <v>#N/A</v>
      </c>
      <c r="D483" s="114">
        <f t="shared" si="108"/>
        <v>0</v>
      </c>
      <c r="E483" s="114" t="e">
        <f t="shared" si="117"/>
        <v>#N/A</v>
      </c>
      <c r="F483" s="108" t="e">
        <f t="shared" si="109"/>
        <v>#N/A</v>
      </c>
      <c r="G483" s="114">
        <f t="shared" si="110"/>
        <v>0</v>
      </c>
      <c r="H483" s="110">
        <v>483</v>
      </c>
      <c r="I483" s="115"/>
      <c r="J483" s="116"/>
      <c r="K483" s="115"/>
      <c r="L483" s="116"/>
      <c r="M483" s="117"/>
      <c r="N483" s="118">
        <f>IF(A483&gt;Dados!$C$16,0,IF(A483=Dados!$C$16,1,SUMIF($A$3:$A$500,CONCATENATE("&gt;",TEXT(DATEVALUE(TEXT(A483,"dd/mm/aaaa")),0)),$M$3:$M$500)-SUMIF($A$3:$A$500,CONCATENATE("&gt;",TEXT(Dados!$C$16-1,0)),$M$3:$M$500)+1%))</f>
        <v>0</v>
      </c>
      <c r="O483" s="119"/>
      <c r="P483" s="120">
        <f t="shared" si="105"/>
        <v>0</v>
      </c>
      <c r="Q483" s="119"/>
      <c r="R483" s="120">
        <f t="shared" si="106"/>
        <v>0</v>
      </c>
      <c r="S483" s="119"/>
      <c r="T483" s="120">
        <f t="shared" si="107"/>
        <v>0</v>
      </c>
      <c r="AG483" s="121">
        <f t="shared" si="111"/>
      </c>
      <c r="AH483" s="121">
        <f t="shared" si="112"/>
      </c>
      <c r="AI483" s="121">
        <f t="shared" si="113"/>
      </c>
      <c r="AJ483" s="121">
        <f t="shared" si="114"/>
      </c>
      <c r="AK483" s="121">
        <f t="shared" si="115"/>
      </c>
    </row>
    <row r="484" spans="1:37" ht="15">
      <c r="A484" s="113">
        <v>49157</v>
      </c>
      <c r="B484" s="113" t="e">
        <f t="shared" si="116"/>
        <v>#N/A</v>
      </c>
      <c r="C484" s="108" t="e">
        <f t="shared" si="104"/>
        <v>#N/A</v>
      </c>
      <c r="D484" s="114">
        <f t="shared" si="108"/>
        <v>0</v>
      </c>
      <c r="E484" s="114" t="e">
        <f t="shared" si="117"/>
        <v>#N/A</v>
      </c>
      <c r="F484" s="108" t="e">
        <f t="shared" si="109"/>
        <v>#N/A</v>
      </c>
      <c r="G484" s="114">
        <f t="shared" si="110"/>
        <v>0</v>
      </c>
      <c r="H484" s="110">
        <v>484</v>
      </c>
      <c r="I484" s="115"/>
      <c r="J484" s="116"/>
      <c r="K484" s="115"/>
      <c r="L484" s="116"/>
      <c r="M484" s="117"/>
      <c r="N484" s="118">
        <f>IF(A484&gt;Dados!$C$16,0,IF(A484=Dados!$C$16,1,SUMIF($A$3:$A$500,CONCATENATE("&gt;",TEXT(DATEVALUE(TEXT(A484,"dd/mm/aaaa")),0)),$M$3:$M$500)-SUMIF($A$3:$A$500,CONCATENATE("&gt;",TEXT(Dados!$C$16-1,0)),$M$3:$M$500)+1%))</f>
        <v>0</v>
      </c>
      <c r="O484" s="119"/>
      <c r="P484" s="120">
        <f t="shared" si="105"/>
        <v>0</v>
      </c>
      <c r="Q484" s="119"/>
      <c r="R484" s="120">
        <f t="shared" si="106"/>
        <v>0</v>
      </c>
      <c r="S484" s="119"/>
      <c r="T484" s="120">
        <f t="shared" si="107"/>
        <v>0</v>
      </c>
      <c r="AG484" s="121">
        <f t="shared" si="111"/>
      </c>
      <c r="AH484" s="121">
        <f t="shared" si="112"/>
      </c>
      <c r="AI484" s="121">
        <f t="shared" si="113"/>
      </c>
      <c r="AJ484" s="121">
        <f t="shared" si="114"/>
      </c>
      <c r="AK484" s="121">
        <f t="shared" si="115"/>
      </c>
    </row>
    <row r="485" spans="1:37" ht="15">
      <c r="A485" s="113">
        <v>49188</v>
      </c>
      <c r="B485" s="113" t="e">
        <f t="shared" si="116"/>
        <v>#N/A</v>
      </c>
      <c r="C485" s="108" t="e">
        <f t="shared" si="104"/>
        <v>#N/A</v>
      </c>
      <c r="D485" s="114">
        <f t="shared" si="108"/>
        <v>0</v>
      </c>
      <c r="E485" s="114" t="e">
        <f t="shared" si="117"/>
        <v>#N/A</v>
      </c>
      <c r="F485" s="108" t="e">
        <f t="shared" si="109"/>
        <v>#N/A</v>
      </c>
      <c r="G485" s="114">
        <f t="shared" si="110"/>
        <v>0</v>
      </c>
      <c r="H485" s="110">
        <v>485</v>
      </c>
      <c r="I485" s="115"/>
      <c r="J485" s="116"/>
      <c r="K485" s="115"/>
      <c r="L485" s="116"/>
      <c r="M485" s="117"/>
      <c r="N485" s="118">
        <f>IF(A485&gt;Dados!$C$16,0,IF(A485=Dados!$C$16,1,SUMIF($A$3:$A$500,CONCATENATE("&gt;",TEXT(DATEVALUE(TEXT(A485,"dd/mm/aaaa")),0)),$M$3:$M$500)-SUMIF($A$3:$A$500,CONCATENATE("&gt;",TEXT(Dados!$C$16-1,0)),$M$3:$M$500)+1%))</f>
        <v>0</v>
      </c>
      <c r="O485" s="119"/>
      <c r="P485" s="120">
        <f t="shared" si="105"/>
        <v>0</v>
      </c>
      <c r="Q485" s="119"/>
      <c r="R485" s="120">
        <f t="shared" si="106"/>
        <v>0</v>
      </c>
      <c r="S485" s="119"/>
      <c r="T485" s="120">
        <f t="shared" si="107"/>
        <v>0</v>
      </c>
      <c r="AG485" s="121">
        <f t="shared" si="111"/>
      </c>
      <c r="AH485" s="121">
        <f t="shared" si="112"/>
      </c>
      <c r="AI485" s="121">
        <f t="shared" si="113"/>
      </c>
      <c r="AJ485" s="121">
        <f t="shared" si="114"/>
      </c>
      <c r="AK485" s="121">
        <f t="shared" si="115"/>
      </c>
    </row>
    <row r="486" spans="1:37" ht="15">
      <c r="A486" s="113">
        <v>49218</v>
      </c>
      <c r="B486" s="113" t="e">
        <f t="shared" si="116"/>
        <v>#N/A</v>
      </c>
      <c r="C486" s="108" t="e">
        <f t="shared" si="104"/>
        <v>#N/A</v>
      </c>
      <c r="D486" s="114">
        <f t="shared" si="108"/>
        <v>0</v>
      </c>
      <c r="E486" s="114" t="e">
        <f t="shared" si="117"/>
        <v>#N/A</v>
      </c>
      <c r="F486" s="108" t="e">
        <f t="shared" si="109"/>
        <v>#N/A</v>
      </c>
      <c r="G486" s="114">
        <f t="shared" si="110"/>
        <v>0</v>
      </c>
      <c r="H486" s="110">
        <v>486</v>
      </c>
      <c r="I486" s="115"/>
      <c r="J486" s="116"/>
      <c r="K486" s="115"/>
      <c r="L486" s="116"/>
      <c r="M486" s="117"/>
      <c r="N486" s="118">
        <f>IF(A486&gt;Dados!$C$16,0,IF(A486=Dados!$C$16,1,SUMIF($A$3:$A$500,CONCATENATE("&gt;",TEXT(DATEVALUE(TEXT(A486,"dd/mm/aaaa")),0)),$M$3:$M$500)-SUMIF($A$3:$A$500,CONCATENATE("&gt;",TEXT(Dados!$C$16-1,0)),$M$3:$M$500)+1%))</f>
        <v>0</v>
      </c>
      <c r="O486" s="119"/>
      <c r="P486" s="120">
        <f t="shared" si="105"/>
        <v>0</v>
      </c>
      <c r="Q486" s="119"/>
      <c r="R486" s="120">
        <f t="shared" si="106"/>
        <v>0</v>
      </c>
      <c r="S486" s="119"/>
      <c r="T486" s="120">
        <f t="shared" si="107"/>
        <v>0</v>
      </c>
      <c r="AG486" s="121">
        <f t="shared" si="111"/>
      </c>
      <c r="AH486" s="121">
        <f t="shared" si="112"/>
      </c>
      <c r="AI486" s="121">
        <f t="shared" si="113"/>
      </c>
      <c r="AJ486" s="121">
        <f t="shared" si="114"/>
      </c>
      <c r="AK486" s="121">
        <f t="shared" si="115"/>
      </c>
    </row>
    <row r="487" spans="1:37" ht="15">
      <c r="A487" s="113">
        <v>49249</v>
      </c>
      <c r="B487" s="113" t="e">
        <f t="shared" si="116"/>
        <v>#N/A</v>
      </c>
      <c r="C487" s="108" t="e">
        <f t="shared" si="104"/>
        <v>#N/A</v>
      </c>
      <c r="D487" s="114">
        <f t="shared" si="108"/>
        <v>0</v>
      </c>
      <c r="E487" s="114" t="e">
        <f t="shared" si="117"/>
        <v>#N/A</v>
      </c>
      <c r="F487" s="108" t="e">
        <f t="shared" si="109"/>
        <v>#N/A</v>
      </c>
      <c r="G487" s="114">
        <f t="shared" si="110"/>
        <v>0</v>
      </c>
      <c r="H487" s="110">
        <v>487</v>
      </c>
      <c r="I487" s="115"/>
      <c r="J487" s="116"/>
      <c r="K487" s="115"/>
      <c r="L487" s="116"/>
      <c r="M487" s="117"/>
      <c r="N487" s="118">
        <f>IF(A487&gt;Dados!$C$16,0,IF(A487=Dados!$C$16,1,SUMIF($A$3:$A$500,CONCATENATE("&gt;",TEXT(DATEVALUE(TEXT(A487,"dd/mm/aaaa")),0)),$M$3:$M$500)-SUMIF($A$3:$A$500,CONCATENATE("&gt;",TEXT(Dados!$C$16-1,0)),$M$3:$M$500)+1%))</f>
        <v>0</v>
      </c>
      <c r="O487" s="119"/>
      <c r="P487" s="120">
        <f t="shared" si="105"/>
        <v>0</v>
      </c>
      <c r="Q487" s="119"/>
      <c r="R487" s="120">
        <f t="shared" si="106"/>
        <v>0</v>
      </c>
      <c r="S487" s="119"/>
      <c r="T487" s="120">
        <f t="shared" si="107"/>
        <v>0</v>
      </c>
      <c r="AG487" s="121">
        <f t="shared" si="111"/>
      </c>
      <c r="AH487" s="121">
        <f t="shared" si="112"/>
      </c>
      <c r="AI487" s="121">
        <f t="shared" si="113"/>
      </c>
      <c r="AJ487" s="121">
        <f t="shared" si="114"/>
      </c>
      <c r="AK487" s="121">
        <f t="shared" si="115"/>
      </c>
    </row>
    <row r="488" spans="1:37" ht="15">
      <c r="A488" s="113">
        <v>49279</v>
      </c>
      <c r="B488" s="113" t="e">
        <f t="shared" si="116"/>
        <v>#N/A</v>
      </c>
      <c r="C488" s="108" t="e">
        <f t="shared" si="104"/>
        <v>#N/A</v>
      </c>
      <c r="D488" s="114">
        <f t="shared" si="108"/>
        <v>0</v>
      </c>
      <c r="E488" s="114" t="e">
        <f t="shared" si="117"/>
        <v>#N/A</v>
      </c>
      <c r="F488" s="108" t="e">
        <f t="shared" si="109"/>
        <v>#N/A</v>
      </c>
      <c r="G488" s="114">
        <f t="shared" si="110"/>
        <v>0</v>
      </c>
      <c r="H488" s="110">
        <v>488</v>
      </c>
      <c r="I488" s="115"/>
      <c r="J488" s="116"/>
      <c r="K488" s="115"/>
      <c r="L488" s="116"/>
      <c r="M488" s="117"/>
      <c r="N488" s="118">
        <f>IF(A488&gt;Dados!$C$16,0,IF(A488=Dados!$C$16,1,SUMIF($A$3:$A$500,CONCATENATE("&gt;",TEXT(DATEVALUE(TEXT(A488,"dd/mm/aaaa")),0)),$M$3:$M$500)-SUMIF($A$3:$A$500,CONCATENATE("&gt;",TEXT(Dados!$C$16-1,0)),$M$3:$M$500)+1%))</f>
        <v>0</v>
      </c>
      <c r="O488" s="119"/>
      <c r="P488" s="120">
        <f t="shared" si="105"/>
        <v>0</v>
      </c>
      <c r="Q488" s="119"/>
      <c r="R488" s="120">
        <f t="shared" si="106"/>
        <v>0</v>
      </c>
      <c r="S488" s="119"/>
      <c r="T488" s="120">
        <f t="shared" si="107"/>
        <v>0</v>
      </c>
      <c r="AG488" s="121">
        <f t="shared" si="111"/>
      </c>
      <c r="AH488" s="121">
        <f t="shared" si="112"/>
      </c>
      <c r="AI488" s="121">
        <f t="shared" si="113"/>
      </c>
      <c r="AJ488" s="121">
        <f t="shared" si="114"/>
      </c>
      <c r="AK488" s="121">
        <f t="shared" si="115"/>
      </c>
    </row>
    <row r="489" spans="1:37" ht="15">
      <c r="A489" s="113">
        <v>49310</v>
      </c>
      <c r="B489" s="113" t="e">
        <f t="shared" si="116"/>
        <v>#N/A</v>
      </c>
      <c r="C489" s="108" t="e">
        <f t="shared" si="104"/>
        <v>#N/A</v>
      </c>
      <c r="D489" s="114">
        <f t="shared" si="108"/>
        <v>0</v>
      </c>
      <c r="E489" s="114" t="e">
        <f t="shared" si="117"/>
        <v>#N/A</v>
      </c>
      <c r="F489" s="108" t="e">
        <f t="shared" si="109"/>
        <v>#N/A</v>
      </c>
      <c r="G489" s="114">
        <f t="shared" si="110"/>
        <v>0</v>
      </c>
      <c r="H489" s="110">
        <v>489</v>
      </c>
      <c r="I489" s="115"/>
      <c r="J489" s="116"/>
      <c r="K489" s="115"/>
      <c r="L489" s="116"/>
      <c r="M489" s="117"/>
      <c r="N489" s="118">
        <f>IF(A489&gt;Dados!$C$16,0,IF(A489=Dados!$C$16,1,SUMIF($A$3:$A$500,CONCATENATE("&gt;",TEXT(DATEVALUE(TEXT(A489,"dd/mm/aaaa")),0)),$M$3:$M$500)-SUMIF($A$3:$A$500,CONCATENATE("&gt;",TEXT(Dados!$C$16-1,0)),$M$3:$M$500)+1%))</f>
        <v>0</v>
      </c>
      <c r="O489" s="119"/>
      <c r="P489" s="120">
        <f t="shared" si="105"/>
        <v>0</v>
      </c>
      <c r="Q489" s="119"/>
      <c r="R489" s="120">
        <f t="shared" si="106"/>
        <v>0</v>
      </c>
      <c r="S489" s="119"/>
      <c r="T489" s="120">
        <f t="shared" si="107"/>
        <v>0</v>
      </c>
      <c r="AG489" s="121">
        <f t="shared" si="111"/>
      </c>
      <c r="AH489" s="121">
        <f t="shared" si="112"/>
      </c>
      <c r="AI489" s="121">
        <f t="shared" si="113"/>
      </c>
      <c r="AJ489" s="121">
        <f t="shared" si="114"/>
      </c>
      <c r="AK489" s="121">
        <f t="shared" si="115"/>
      </c>
    </row>
    <row r="490" spans="1:37" ht="15">
      <c r="A490" s="113">
        <v>49341</v>
      </c>
      <c r="B490" s="113" t="e">
        <f t="shared" si="116"/>
        <v>#N/A</v>
      </c>
      <c r="C490" s="108" t="e">
        <f t="shared" si="104"/>
        <v>#N/A</v>
      </c>
      <c r="D490" s="114">
        <f t="shared" si="108"/>
        <v>0</v>
      </c>
      <c r="E490" s="114" t="e">
        <f t="shared" si="117"/>
        <v>#N/A</v>
      </c>
      <c r="F490" s="108" t="e">
        <f t="shared" si="109"/>
        <v>#N/A</v>
      </c>
      <c r="G490" s="114">
        <f t="shared" si="110"/>
        <v>0</v>
      </c>
      <c r="H490" s="110">
        <v>490</v>
      </c>
      <c r="I490" s="115"/>
      <c r="J490" s="116"/>
      <c r="K490" s="115"/>
      <c r="L490" s="116"/>
      <c r="M490" s="117"/>
      <c r="N490" s="118">
        <f>IF(A490&gt;Dados!$C$16,0,IF(A490=Dados!$C$16,1,SUMIF($A$3:$A$500,CONCATENATE("&gt;",TEXT(DATEVALUE(TEXT(A490,"dd/mm/aaaa")),0)),$M$3:$M$500)-SUMIF($A$3:$A$500,CONCATENATE("&gt;",TEXT(Dados!$C$16-1,0)),$M$3:$M$500)+1%))</f>
        <v>0</v>
      </c>
      <c r="O490" s="119"/>
      <c r="P490" s="120">
        <f t="shared" si="105"/>
        <v>0</v>
      </c>
      <c r="Q490" s="119"/>
      <c r="R490" s="120">
        <f t="shared" si="106"/>
        <v>0</v>
      </c>
      <c r="S490" s="119"/>
      <c r="T490" s="120">
        <f t="shared" si="107"/>
        <v>0</v>
      </c>
      <c r="AG490" s="121">
        <f t="shared" si="111"/>
      </c>
      <c r="AH490" s="121">
        <f t="shared" si="112"/>
      </c>
      <c r="AI490" s="121">
        <f t="shared" si="113"/>
      </c>
      <c r="AJ490" s="121">
        <f t="shared" si="114"/>
      </c>
      <c r="AK490" s="121">
        <f t="shared" si="115"/>
      </c>
    </row>
    <row r="491" spans="1:37" ht="15">
      <c r="A491" s="113">
        <v>49369</v>
      </c>
      <c r="B491" s="113" t="e">
        <f t="shared" si="116"/>
        <v>#N/A</v>
      </c>
      <c r="C491" s="108" t="e">
        <f t="shared" si="104"/>
        <v>#N/A</v>
      </c>
      <c r="D491" s="114">
        <f t="shared" si="108"/>
        <v>0</v>
      </c>
      <c r="E491" s="114" t="e">
        <f t="shared" si="117"/>
        <v>#N/A</v>
      </c>
      <c r="F491" s="108" t="e">
        <f t="shared" si="109"/>
        <v>#N/A</v>
      </c>
      <c r="G491" s="114">
        <f t="shared" si="110"/>
        <v>0</v>
      </c>
      <c r="H491" s="110">
        <v>491</v>
      </c>
      <c r="I491" s="115"/>
      <c r="J491" s="116"/>
      <c r="K491" s="115"/>
      <c r="L491" s="116"/>
      <c r="M491" s="117"/>
      <c r="N491" s="118">
        <f>IF(A491&gt;Dados!$C$16,0,IF(A491=Dados!$C$16,1,SUMIF($A$3:$A$500,CONCATENATE("&gt;",TEXT(DATEVALUE(TEXT(A491,"dd/mm/aaaa")),0)),$M$3:$M$500)-SUMIF($A$3:$A$500,CONCATENATE("&gt;",TEXT(Dados!$C$16-1,0)),$M$3:$M$500)+1%))</f>
        <v>0</v>
      </c>
      <c r="O491" s="119"/>
      <c r="P491" s="120">
        <f t="shared" si="105"/>
        <v>0</v>
      </c>
      <c r="Q491" s="119"/>
      <c r="R491" s="120">
        <f t="shared" si="106"/>
        <v>0</v>
      </c>
      <c r="S491" s="119"/>
      <c r="T491" s="120">
        <f t="shared" si="107"/>
        <v>0</v>
      </c>
      <c r="AG491" s="121">
        <f t="shared" si="111"/>
      </c>
      <c r="AH491" s="121">
        <f t="shared" si="112"/>
      </c>
      <c r="AI491" s="121">
        <f t="shared" si="113"/>
      </c>
      <c r="AJ491" s="121">
        <f t="shared" si="114"/>
      </c>
      <c r="AK491" s="121">
        <f t="shared" si="115"/>
      </c>
    </row>
    <row r="492" spans="1:37" ht="15">
      <c r="A492" s="113">
        <v>49400</v>
      </c>
      <c r="B492" s="113" t="e">
        <f t="shared" si="116"/>
        <v>#N/A</v>
      </c>
      <c r="C492" s="108" t="e">
        <f t="shared" si="104"/>
        <v>#N/A</v>
      </c>
      <c r="D492" s="114">
        <f t="shared" si="108"/>
        <v>0</v>
      </c>
      <c r="E492" s="114" t="e">
        <f t="shared" si="117"/>
        <v>#N/A</v>
      </c>
      <c r="F492" s="108" t="e">
        <f t="shared" si="109"/>
        <v>#N/A</v>
      </c>
      <c r="G492" s="114">
        <f t="shared" si="110"/>
        <v>0</v>
      </c>
      <c r="H492" s="110">
        <v>492</v>
      </c>
      <c r="I492" s="115"/>
      <c r="J492" s="116"/>
      <c r="K492" s="115"/>
      <c r="L492" s="116"/>
      <c r="M492" s="117"/>
      <c r="N492" s="118">
        <f>IF(A492&gt;Dados!$C$16,0,IF(A492=Dados!$C$16,1,SUMIF($A$3:$A$500,CONCATENATE("&gt;",TEXT(DATEVALUE(TEXT(A492,"dd/mm/aaaa")),0)),$M$3:$M$500)-SUMIF($A$3:$A$500,CONCATENATE("&gt;",TEXT(Dados!$C$16-1,0)),$M$3:$M$500)+1%))</f>
        <v>0</v>
      </c>
      <c r="O492" s="119"/>
      <c r="P492" s="120">
        <f t="shared" si="105"/>
        <v>0</v>
      </c>
      <c r="Q492" s="119"/>
      <c r="R492" s="120">
        <f t="shared" si="106"/>
        <v>0</v>
      </c>
      <c r="S492" s="119"/>
      <c r="T492" s="120">
        <f t="shared" si="107"/>
        <v>0</v>
      </c>
      <c r="AG492" s="121">
        <f t="shared" si="111"/>
      </c>
      <c r="AH492" s="121">
        <f t="shared" si="112"/>
      </c>
      <c r="AI492" s="121">
        <f t="shared" si="113"/>
      </c>
      <c r="AJ492" s="121">
        <f t="shared" si="114"/>
      </c>
      <c r="AK492" s="121">
        <f t="shared" si="115"/>
      </c>
    </row>
    <row r="493" spans="1:37" ht="15">
      <c r="A493" s="113">
        <v>49430</v>
      </c>
      <c r="B493" s="113" t="e">
        <f t="shared" si="116"/>
        <v>#N/A</v>
      </c>
      <c r="C493" s="108" t="e">
        <f t="shared" si="104"/>
        <v>#N/A</v>
      </c>
      <c r="D493" s="114">
        <f t="shared" si="108"/>
        <v>0</v>
      </c>
      <c r="E493" s="114" t="e">
        <f t="shared" si="117"/>
        <v>#N/A</v>
      </c>
      <c r="F493" s="108" t="e">
        <f t="shared" si="109"/>
        <v>#N/A</v>
      </c>
      <c r="G493" s="114">
        <f t="shared" si="110"/>
        <v>0</v>
      </c>
      <c r="H493" s="110">
        <v>493</v>
      </c>
      <c r="I493" s="115"/>
      <c r="J493" s="116"/>
      <c r="K493" s="115"/>
      <c r="L493" s="116"/>
      <c r="M493" s="117"/>
      <c r="N493" s="118">
        <f>IF(A493&gt;Dados!$C$16,0,IF(A493=Dados!$C$16,1,SUMIF($A$3:$A$500,CONCATENATE("&gt;",TEXT(DATEVALUE(TEXT(A493,"dd/mm/aaaa")),0)),$M$3:$M$500)-SUMIF($A$3:$A$500,CONCATENATE("&gt;",TEXT(Dados!$C$16-1,0)),$M$3:$M$500)+1%))</f>
        <v>0</v>
      </c>
      <c r="O493" s="119"/>
      <c r="P493" s="120">
        <f t="shared" si="105"/>
        <v>0</v>
      </c>
      <c r="Q493" s="119"/>
      <c r="R493" s="120">
        <f t="shared" si="106"/>
        <v>0</v>
      </c>
      <c r="S493" s="119"/>
      <c r="T493" s="120">
        <f t="shared" si="107"/>
        <v>0</v>
      </c>
      <c r="AG493" s="121">
        <f t="shared" si="111"/>
      </c>
      <c r="AH493" s="121">
        <f t="shared" si="112"/>
      </c>
      <c r="AI493" s="121">
        <f t="shared" si="113"/>
      </c>
      <c r="AJ493" s="121">
        <f t="shared" si="114"/>
      </c>
      <c r="AK493" s="121">
        <f t="shared" si="115"/>
      </c>
    </row>
    <row r="494" spans="1:37" ht="15">
      <c r="A494" s="113">
        <v>49461</v>
      </c>
      <c r="B494" s="113" t="e">
        <f t="shared" si="116"/>
        <v>#N/A</v>
      </c>
      <c r="C494" s="108" t="e">
        <f t="shared" si="104"/>
        <v>#N/A</v>
      </c>
      <c r="D494" s="114">
        <f t="shared" si="108"/>
        <v>0</v>
      </c>
      <c r="E494" s="114" t="e">
        <f t="shared" si="117"/>
        <v>#N/A</v>
      </c>
      <c r="F494" s="108" t="e">
        <f t="shared" si="109"/>
        <v>#N/A</v>
      </c>
      <c r="G494" s="114">
        <f t="shared" si="110"/>
        <v>0</v>
      </c>
      <c r="H494" s="110">
        <v>494</v>
      </c>
      <c r="I494" s="115"/>
      <c r="J494" s="116"/>
      <c r="K494" s="115"/>
      <c r="L494" s="116"/>
      <c r="M494" s="117"/>
      <c r="N494" s="118">
        <f>IF(A494&gt;Dados!$C$16,0,IF(A494=Dados!$C$16,1,SUMIF($A$3:$A$500,CONCATENATE("&gt;",TEXT(DATEVALUE(TEXT(A494,"dd/mm/aaaa")),0)),$M$3:$M$500)-SUMIF($A$3:$A$500,CONCATENATE("&gt;",TEXT(Dados!$C$16-1,0)),$M$3:$M$500)+1%))</f>
        <v>0</v>
      </c>
      <c r="O494" s="119"/>
      <c r="P494" s="120">
        <f t="shared" si="105"/>
        <v>0</v>
      </c>
      <c r="Q494" s="119"/>
      <c r="R494" s="120">
        <f t="shared" si="106"/>
        <v>0</v>
      </c>
      <c r="S494" s="119"/>
      <c r="T494" s="120">
        <f t="shared" si="107"/>
        <v>0</v>
      </c>
      <c r="AG494" s="121">
        <f t="shared" si="111"/>
      </c>
      <c r="AH494" s="121">
        <f t="shared" si="112"/>
      </c>
      <c r="AI494" s="121">
        <f t="shared" si="113"/>
      </c>
      <c r="AJ494" s="121">
        <f t="shared" si="114"/>
      </c>
      <c r="AK494" s="121">
        <f t="shared" si="115"/>
      </c>
    </row>
    <row r="495" spans="1:37" ht="15">
      <c r="A495" s="113">
        <v>49491</v>
      </c>
      <c r="B495" s="113" t="e">
        <f t="shared" si="116"/>
        <v>#N/A</v>
      </c>
      <c r="C495" s="108" t="e">
        <f t="shared" si="104"/>
        <v>#N/A</v>
      </c>
      <c r="D495" s="114">
        <f t="shared" si="108"/>
        <v>0</v>
      </c>
      <c r="E495" s="114" t="e">
        <f t="shared" si="117"/>
        <v>#N/A</v>
      </c>
      <c r="F495" s="108" t="e">
        <f t="shared" si="109"/>
        <v>#N/A</v>
      </c>
      <c r="G495" s="114">
        <f t="shared" si="110"/>
        <v>0</v>
      </c>
      <c r="H495" s="110">
        <v>495</v>
      </c>
      <c r="I495" s="115"/>
      <c r="J495" s="116"/>
      <c r="K495" s="115"/>
      <c r="L495" s="116"/>
      <c r="M495" s="117"/>
      <c r="N495" s="118">
        <f>IF(A495&gt;Dados!$C$16,0,IF(A495=Dados!$C$16,1,SUMIF($A$3:$A$500,CONCATENATE("&gt;",TEXT(DATEVALUE(TEXT(A495,"dd/mm/aaaa")),0)),$M$3:$M$500)-SUMIF($A$3:$A$500,CONCATENATE("&gt;",TEXT(Dados!$C$16-1,0)),$M$3:$M$500)+1%))</f>
        <v>0</v>
      </c>
      <c r="O495" s="119"/>
      <c r="P495" s="120">
        <f t="shared" si="105"/>
        <v>0</v>
      </c>
      <c r="Q495" s="119"/>
      <c r="R495" s="120">
        <f t="shared" si="106"/>
        <v>0</v>
      </c>
      <c r="S495" s="119"/>
      <c r="T495" s="120">
        <f t="shared" si="107"/>
        <v>0</v>
      </c>
      <c r="AG495" s="121">
        <f t="shared" si="111"/>
      </c>
      <c r="AH495" s="121">
        <f t="shared" si="112"/>
      </c>
      <c r="AI495" s="121">
        <f t="shared" si="113"/>
      </c>
      <c r="AJ495" s="121">
        <f t="shared" si="114"/>
      </c>
      <c r="AK495" s="121">
        <f t="shared" si="115"/>
      </c>
    </row>
    <row r="496" spans="1:37" ht="15">
      <c r="A496" s="113">
        <v>49522</v>
      </c>
      <c r="B496" s="113" t="e">
        <f t="shared" si="116"/>
        <v>#N/A</v>
      </c>
      <c r="C496" s="108" t="e">
        <f t="shared" si="104"/>
        <v>#N/A</v>
      </c>
      <c r="D496" s="114">
        <f t="shared" si="108"/>
        <v>0</v>
      </c>
      <c r="E496" s="114" t="e">
        <f t="shared" si="117"/>
        <v>#N/A</v>
      </c>
      <c r="F496" s="108" t="e">
        <f t="shared" si="109"/>
        <v>#N/A</v>
      </c>
      <c r="G496" s="114">
        <f t="shared" si="110"/>
        <v>0</v>
      </c>
      <c r="H496" s="110">
        <v>496</v>
      </c>
      <c r="I496" s="115"/>
      <c r="J496" s="116"/>
      <c r="K496" s="115"/>
      <c r="L496" s="116"/>
      <c r="M496" s="117"/>
      <c r="N496" s="118">
        <f>IF(A496&gt;Dados!$C$16,0,IF(A496=Dados!$C$16,1,SUMIF($A$3:$A$500,CONCATENATE("&gt;",TEXT(DATEVALUE(TEXT(A496,"dd/mm/aaaa")),0)),$M$3:$M$500)-SUMIF($A$3:$A$500,CONCATENATE("&gt;",TEXT(Dados!$C$16-1,0)),$M$3:$M$500)+1%))</f>
        <v>0</v>
      </c>
      <c r="O496" s="119"/>
      <c r="P496" s="120">
        <f t="shared" si="105"/>
        <v>0</v>
      </c>
      <c r="Q496" s="119"/>
      <c r="R496" s="120">
        <f t="shared" si="106"/>
        <v>0</v>
      </c>
      <c r="S496" s="119"/>
      <c r="T496" s="120">
        <f t="shared" si="107"/>
        <v>0</v>
      </c>
      <c r="AG496" s="121">
        <f t="shared" si="111"/>
      </c>
      <c r="AH496" s="121">
        <f t="shared" si="112"/>
      </c>
      <c r="AI496" s="121">
        <f t="shared" si="113"/>
      </c>
      <c r="AJ496" s="121">
        <f t="shared" si="114"/>
      </c>
      <c r="AK496" s="121">
        <f t="shared" si="115"/>
      </c>
    </row>
    <row r="497" spans="1:37" ht="15">
      <c r="A497" s="113">
        <v>49553</v>
      </c>
      <c r="B497" s="113" t="e">
        <f t="shared" si="116"/>
        <v>#N/A</v>
      </c>
      <c r="C497" s="108" t="e">
        <f t="shared" si="104"/>
        <v>#N/A</v>
      </c>
      <c r="D497" s="114">
        <f t="shared" si="108"/>
        <v>0</v>
      </c>
      <c r="E497" s="114" t="e">
        <f t="shared" si="117"/>
        <v>#N/A</v>
      </c>
      <c r="F497" s="108" t="e">
        <f t="shared" si="109"/>
        <v>#N/A</v>
      </c>
      <c r="G497" s="114">
        <f t="shared" si="110"/>
        <v>0</v>
      </c>
      <c r="H497" s="110">
        <v>497</v>
      </c>
      <c r="I497" s="115"/>
      <c r="J497" s="116"/>
      <c r="K497" s="115"/>
      <c r="L497" s="116"/>
      <c r="M497" s="117"/>
      <c r="N497" s="118">
        <f>IF(A497&gt;Dados!$C$16,0,IF(A497=Dados!$C$16,1,SUMIF($A$3:$A$500,CONCATENATE("&gt;",TEXT(DATEVALUE(TEXT(A497,"dd/mm/aaaa")),0)),$M$3:$M$500)-SUMIF($A$3:$A$500,CONCATENATE("&gt;",TEXT(Dados!$C$16-1,0)),$M$3:$M$500)+1%))</f>
        <v>0</v>
      </c>
      <c r="O497" s="119"/>
      <c r="P497" s="120">
        <f t="shared" si="105"/>
        <v>0</v>
      </c>
      <c r="Q497" s="119"/>
      <c r="R497" s="120">
        <f t="shared" si="106"/>
        <v>0</v>
      </c>
      <c r="S497" s="119"/>
      <c r="T497" s="120">
        <f t="shared" si="107"/>
        <v>0</v>
      </c>
      <c r="AG497" s="121">
        <f t="shared" si="111"/>
      </c>
      <c r="AH497" s="121">
        <f t="shared" si="112"/>
      </c>
      <c r="AI497" s="121">
        <f t="shared" si="113"/>
      </c>
      <c r="AJ497" s="121">
        <f t="shared" si="114"/>
      </c>
      <c r="AK497" s="121">
        <f t="shared" si="115"/>
      </c>
    </row>
    <row r="498" spans="1:37" ht="15">
      <c r="A498" s="113">
        <v>49583</v>
      </c>
      <c r="B498" s="113" t="e">
        <f t="shared" si="116"/>
        <v>#N/A</v>
      </c>
      <c r="C498" s="108" t="e">
        <f t="shared" si="104"/>
        <v>#N/A</v>
      </c>
      <c r="D498" s="114">
        <f t="shared" si="108"/>
        <v>0</v>
      </c>
      <c r="E498" s="114" t="e">
        <f t="shared" si="117"/>
        <v>#N/A</v>
      </c>
      <c r="F498" s="108" t="e">
        <f t="shared" si="109"/>
        <v>#N/A</v>
      </c>
      <c r="G498" s="114">
        <f t="shared" si="110"/>
        <v>0</v>
      </c>
      <c r="H498" s="110">
        <v>498</v>
      </c>
      <c r="I498" s="115"/>
      <c r="J498" s="116"/>
      <c r="K498" s="115"/>
      <c r="L498" s="116"/>
      <c r="M498" s="117"/>
      <c r="N498" s="118">
        <f>IF(A498&gt;Dados!$C$16,0,IF(A498=Dados!$C$16,1,SUMIF($A$3:$A$500,CONCATENATE("&gt;",TEXT(DATEVALUE(TEXT(A498,"dd/mm/aaaa")),0)),$M$3:$M$500)-SUMIF($A$3:$A$500,CONCATENATE("&gt;",TEXT(Dados!$C$16-1,0)),$M$3:$M$500)+1%))</f>
        <v>0</v>
      </c>
      <c r="O498" s="119"/>
      <c r="P498" s="120">
        <f t="shared" si="105"/>
        <v>0</v>
      </c>
      <c r="Q498" s="119"/>
      <c r="R498" s="120">
        <f t="shared" si="106"/>
        <v>0</v>
      </c>
      <c r="S498" s="119"/>
      <c r="T498" s="120">
        <f t="shared" si="107"/>
        <v>0</v>
      </c>
      <c r="AG498" s="121">
        <f t="shared" si="111"/>
      </c>
      <c r="AH498" s="121">
        <f t="shared" si="112"/>
      </c>
      <c r="AI498" s="121">
        <f t="shared" si="113"/>
      </c>
      <c r="AJ498" s="121">
        <f t="shared" si="114"/>
      </c>
      <c r="AK498" s="121">
        <f t="shared" si="115"/>
      </c>
    </row>
    <row r="499" spans="1:37" ht="15">
      <c r="A499" s="113">
        <v>49614</v>
      </c>
      <c r="B499" s="113" t="e">
        <f t="shared" si="116"/>
        <v>#N/A</v>
      </c>
      <c r="C499" s="108" t="e">
        <f t="shared" si="104"/>
        <v>#N/A</v>
      </c>
      <c r="D499" s="114">
        <f t="shared" si="108"/>
        <v>0</v>
      </c>
      <c r="E499" s="114" t="e">
        <f t="shared" si="117"/>
        <v>#N/A</v>
      </c>
      <c r="F499" s="108" t="e">
        <f t="shared" si="109"/>
        <v>#N/A</v>
      </c>
      <c r="G499" s="114">
        <f t="shared" si="110"/>
        <v>0</v>
      </c>
      <c r="H499" s="110">
        <v>499</v>
      </c>
      <c r="I499" s="115"/>
      <c r="J499" s="116"/>
      <c r="K499" s="115"/>
      <c r="L499" s="116"/>
      <c r="M499" s="117"/>
      <c r="N499" s="118">
        <f>IF(A499&gt;Dados!$C$16,0,IF(A499=Dados!$C$16,1,SUMIF($A$3:$A$500,CONCATENATE("&gt;",TEXT(DATEVALUE(TEXT(A499,"dd/mm/aaaa")),0)),$M$3:$M$500)-SUMIF($A$3:$A$500,CONCATENATE("&gt;",TEXT(Dados!$C$16-1,0)),$M$3:$M$500)+1%))</f>
        <v>0</v>
      </c>
      <c r="O499" s="119"/>
      <c r="P499" s="120">
        <f t="shared" si="105"/>
        <v>0</v>
      </c>
      <c r="Q499" s="119"/>
      <c r="R499" s="120">
        <f t="shared" si="106"/>
        <v>0</v>
      </c>
      <c r="S499" s="119"/>
      <c r="T499" s="120">
        <f t="shared" si="107"/>
        <v>0</v>
      </c>
      <c r="AG499" s="121">
        <f t="shared" si="111"/>
      </c>
      <c r="AH499" s="121">
        <f t="shared" si="112"/>
      </c>
      <c r="AI499" s="121">
        <f t="shared" si="113"/>
      </c>
      <c r="AJ499" s="121">
        <f t="shared" si="114"/>
      </c>
      <c r="AK499" s="121">
        <f t="shared" si="115"/>
      </c>
    </row>
    <row r="500" spans="1:37" ht="15">
      <c r="A500" s="113">
        <v>49644</v>
      </c>
      <c r="B500" s="113" t="e">
        <f t="shared" si="116"/>
        <v>#N/A</v>
      </c>
      <c r="C500" s="108" t="e">
        <f t="shared" si="104"/>
        <v>#N/A</v>
      </c>
      <c r="D500" s="114">
        <f t="shared" si="108"/>
        <v>0</v>
      </c>
      <c r="E500" s="114" t="e">
        <f t="shared" si="117"/>
        <v>#N/A</v>
      </c>
      <c r="F500" s="108" t="e">
        <f t="shared" si="109"/>
        <v>#N/A</v>
      </c>
      <c r="G500" s="114">
        <f t="shared" si="110"/>
        <v>0</v>
      </c>
      <c r="H500" s="110">
        <v>500</v>
      </c>
      <c r="I500" s="115"/>
      <c r="J500" s="116"/>
      <c r="K500" s="115"/>
      <c r="L500" s="116"/>
      <c r="M500" s="117"/>
      <c r="N500" s="118">
        <f>IF(A500&gt;Dados!$C$16,0,IF(A500=Dados!$C$16,1,SUMIF($A$3:$A$500,CONCATENATE("&gt;",TEXT(DATEVALUE(TEXT(A500,"dd/mm/aaaa")),0)),$M$3:$M$500)-SUMIF($A$3:$A$500,CONCATENATE("&gt;",TEXT(Dados!$C$16-1,0)),$M$3:$M$500)+1%))</f>
        <v>0</v>
      </c>
      <c r="O500" s="119"/>
      <c r="P500" s="120">
        <f t="shared" si="105"/>
        <v>0</v>
      </c>
      <c r="Q500" s="119"/>
      <c r="R500" s="120">
        <f t="shared" si="106"/>
        <v>0</v>
      </c>
      <c r="S500" s="119"/>
      <c r="T500" s="120">
        <f t="shared" si="107"/>
        <v>0</v>
      </c>
      <c r="AG500" s="121">
        <f t="shared" si="111"/>
      </c>
      <c r="AH500" s="121">
        <f t="shared" si="112"/>
      </c>
      <c r="AI500" s="121">
        <f t="shared" si="113"/>
      </c>
      <c r="AJ500" s="121">
        <f t="shared" si="114"/>
      </c>
      <c r="AK500" s="121">
        <f t="shared" si="115"/>
      </c>
    </row>
  </sheetData>
  <sheetProtection password="C66B" sheet="1"/>
  <mergeCells count="3">
    <mergeCell ref="O2:P2"/>
    <mergeCell ref="Q2:R2"/>
    <mergeCell ref="S2:T2"/>
  </mergeCells>
  <conditionalFormatting sqref="AJ2:AK2 AG2:AH2">
    <cfRule type="cellIs" priority="1" dxfId="0" operator="lessThan" stopIfTrue="1">
      <formula>$AI$2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Oseas</dc:creator>
  <cp:keywords/>
  <dc:description/>
  <cp:lastModifiedBy>jfrs</cp:lastModifiedBy>
  <cp:lastPrinted>2019-12-11T10:01:36Z</cp:lastPrinted>
  <dcterms:created xsi:type="dcterms:W3CDTF">2014-08-11T13:19:40Z</dcterms:created>
  <dcterms:modified xsi:type="dcterms:W3CDTF">2020-01-03T17:11:39Z</dcterms:modified>
  <cp:category/>
  <cp:version/>
  <cp:contentType/>
  <cp:contentStatus/>
</cp:coreProperties>
</file>